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metadata.xml" ContentType="application/vnd.openxmlformats-officedocument.spreadsheetml.sheetMetadata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threadedComments/threadedComment1.xml" ContentType="application/vnd.ms-excel.threadedcomment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xl/persons/person.xml" ContentType="application/vnd.ms-excel.person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/>
  <mc:AlternateContent xmlns:mc="http://schemas.openxmlformats.org/markup-compatibility/2006">
    <mc:Choice Requires="x15">
      <x15ac:absPath xmlns:x15ac="http://schemas.microsoft.com/office/spreadsheetml/2010/11/ac" url="https://promethiumcarbon-my.sharepoint.com/personal/olivia_promethium_co_za/Documents/Documents/Offline files/PACM/GEF tool draft/"/>
    </mc:Choice>
  </mc:AlternateContent>
  <xr:revisionPtr revIDLastSave="1037" documentId="13_ncr:1_{A785EB20-707D-4D98-984E-2B88EFB7EE29}" xr6:coauthVersionLast="47" xr6:coauthVersionMax="47" xr10:uidLastSave="{D0F0D912-9B32-4DAE-8738-5AA9E3350541}"/>
  <bookViews>
    <workbookView xWindow="-120" yWindow="-16320" windowWidth="29040" windowHeight="15720" tabRatio="838" activeTab="1" xr2:uid="{00000000-000D-0000-FFFF-FFFF00000000}"/>
  </bookViews>
  <sheets>
    <sheet name="Emission Factors" sheetId="5" r:id="rId1"/>
    <sheet name="MarginalEmissionFactor2024" sheetId="8" r:id="rId2"/>
    <sheet name="PowerStationData2024" sheetId="9" r:id="rId3"/>
    <sheet name="MarginalEmissionFactor2023" sheetId="6" state="hidden" r:id="rId4"/>
    <sheet name="PowerStationData2023" sheetId="7" state="hidden" r:id="rId5"/>
  </sheets>
  <definedNames>
    <definedName name="ApplicabilitySelectCell">#REF!</definedName>
    <definedName name="CountrySelectCell">#REF!</definedName>
    <definedName name="DivisionSelectCell">#REF!</definedName>
    <definedName name="OfficeSelectCell">#REF!</definedName>
    <definedName name="RegionSelect">#REF!</definedName>
    <definedName name="RegionSelectionCell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14" i="8" l="1"/>
  <c r="E7" i="8"/>
  <c r="E8" i="8"/>
  <c r="E9" i="8"/>
  <c r="F9" i="8" s="1"/>
  <c r="E294" i="9"/>
  <c r="E293" i="9"/>
  <c r="E292" i="9"/>
  <c r="E291" i="9"/>
  <c r="E290" i="9"/>
  <c r="E289" i="9"/>
  <c r="D321" i="9"/>
  <c r="D320" i="9"/>
  <c r="D319" i="9"/>
  <c r="D318" i="9"/>
  <c r="D317" i="9"/>
  <c r="D316" i="9"/>
  <c r="D315" i="9"/>
  <c r="D314" i="9"/>
  <c r="D313" i="9"/>
  <c r="D312" i="9"/>
  <c r="D311" i="9"/>
  <c r="D310" i="9"/>
  <c r="D309" i="9"/>
  <c r="D308" i="9"/>
  <c r="D307" i="9"/>
  <c r="D306" i="9"/>
  <c r="D305" i="9"/>
  <c r="D304" i="9"/>
  <c r="D303" i="9"/>
  <c r="D302" i="9"/>
  <c r="D301" i="9"/>
  <c r="D300" i="9"/>
  <c r="D299" i="9"/>
  <c r="D298" i="9"/>
  <c r="D297" i="9"/>
  <c r="D296" i="9"/>
  <c r="D295" i="9"/>
  <c r="D294" i="9"/>
  <c r="D293" i="9"/>
  <c r="D292" i="9"/>
  <c r="D291" i="9"/>
  <c r="D290" i="9"/>
  <c r="D289" i="9"/>
  <c r="D288" i="9"/>
  <c r="D287" i="9"/>
  <c r="D286" i="9"/>
  <c r="D285" i="9"/>
  <c r="D284" i="9"/>
  <c r="D283" i="9"/>
  <c r="D282" i="9"/>
  <c r="D281" i="9"/>
  <c r="D280" i="9"/>
  <c r="D279" i="9"/>
  <c r="D278" i="9"/>
  <c r="D277" i="9"/>
  <c r="D276" i="9"/>
  <c r="D275" i="9"/>
  <c r="D274" i="9"/>
  <c r="D273" i="9"/>
  <c r="D272" i="9"/>
  <c r="D271" i="9"/>
  <c r="C291" i="9"/>
  <c r="C292" i="9" s="1"/>
  <c r="C293" i="9" s="1"/>
  <c r="C294" i="9" s="1"/>
  <c r="C290" i="9"/>
  <c r="C289" i="9"/>
  <c r="G290" i="9"/>
  <c r="H290" i="9" s="1"/>
  <c r="G291" i="9"/>
  <c r="I291" i="9" s="1"/>
  <c r="H291" i="9"/>
  <c r="G292" i="9"/>
  <c r="I292" i="9" s="1"/>
  <c r="G293" i="9"/>
  <c r="H293" i="9"/>
  <c r="I293" i="9"/>
  <c r="G294" i="9"/>
  <c r="H294" i="9" s="1"/>
  <c r="C101" i="8"/>
  <c r="E321" i="9"/>
  <c r="E320" i="9"/>
  <c r="E319" i="9"/>
  <c r="E318" i="9"/>
  <c r="E317" i="9"/>
  <c r="E316" i="9"/>
  <c r="E315" i="9"/>
  <c r="E314" i="9"/>
  <c r="E313" i="9"/>
  <c r="E312" i="9"/>
  <c r="E311" i="9"/>
  <c r="E310" i="9"/>
  <c r="E309" i="9"/>
  <c r="E308" i="9"/>
  <c r="E307" i="9"/>
  <c r="E306" i="9"/>
  <c r="E305" i="9"/>
  <c r="E304" i="9"/>
  <c r="E303" i="9"/>
  <c r="E302" i="9"/>
  <c r="E301" i="9"/>
  <c r="E300" i="9"/>
  <c r="E299" i="9"/>
  <c r="E298" i="9"/>
  <c r="E297" i="9"/>
  <c r="E296" i="9"/>
  <c r="E295" i="9"/>
  <c r="F216" i="9"/>
  <c r="F188" i="9"/>
  <c r="F241" i="9" s="1"/>
  <c r="F189" i="9"/>
  <c r="F298" i="9" s="1"/>
  <c r="F190" i="9"/>
  <c r="F243" i="9" s="1"/>
  <c r="F191" i="9"/>
  <c r="F244" i="9" s="1"/>
  <c r="F192" i="9"/>
  <c r="F301" i="9" s="1"/>
  <c r="F193" i="9"/>
  <c r="F302" i="9" s="1"/>
  <c r="F194" i="9"/>
  <c r="F247" i="9" s="1"/>
  <c r="F195" i="9"/>
  <c r="F304" i="9" s="1"/>
  <c r="F196" i="9"/>
  <c r="F305" i="9" s="1"/>
  <c r="F197" i="9"/>
  <c r="F306" i="9" s="1"/>
  <c r="F198" i="9"/>
  <c r="F251" i="9" s="1"/>
  <c r="F199" i="9"/>
  <c r="F308" i="9" s="1"/>
  <c r="F200" i="9"/>
  <c r="F253" i="9" s="1"/>
  <c r="F201" i="9"/>
  <c r="F254" i="9" s="1"/>
  <c r="F202" i="9"/>
  <c r="F255" i="9" s="1"/>
  <c r="F203" i="9"/>
  <c r="F256" i="9" s="1"/>
  <c r="F204" i="9"/>
  <c r="F313" i="9" s="1"/>
  <c r="F205" i="9"/>
  <c r="F314" i="9" s="1"/>
  <c r="F206" i="9"/>
  <c r="F315" i="9" s="1"/>
  <c r="F207" i="9"/>
  <c r="F260" i="9" s="1"/>
  <c r="F208" i="9"/>
  <c r="F317" i="9" s="1"/>
  <c r="F209" i="9"/>
  <c r="F318" i="9" s="1"/>
  <c r="F210" i="9"/>
  <c r="F319" i="9" s="1"/>
  <c r="F211" i="9"/>
  <c r="F320" i="9" s="1"/>
  <c r="F212" i="9"/>
  <c r="F321" i="9" s="1"/>
  <c r="F187" i="9"/>
  <c r="F296" i="9" s="1"/>
  <c r="F186" i="9"/>
  <c r="F235" i="9" s="1"/>
  <c r="F185" i="9"/>
  <c r="F184" i="9"/>
  <c r="F233" i="9" s="1"/>
  <c r="F183" i="9"/>
  <c r="F232" i="9" s="1"/>
  <c r="F182" i="9"/>
  <c r="F231" i="9" s="1"/>
  <c r="F181" i="9"/>
  <c r="F180" i="9"/>
  <c r="F229" i="9" s="1"/>
  <c r="F179" i="9"/>
  <c r="F228" i="9" s="1"/>
  <c r="F178" i="9"/>
  <c r="F227" i="9" s="1"/>
  <c r="F177" i="9"/>
  <c r="F226" i="9" s="1"/>
  <c r="F176" i="9"/>
  <c r="F280" i="9" s="1"/>
  <c r="F175" i="9"/>
  <c r="F279" i="9" s="1"/>
  <c r="F174" i="9"/>
  <c r="F278" i="9" s="1"/>
  <c r="F173" i="9"/>
  <c r="F222" i="9" s="1"/>
  <c r="F172" i="9"/>
  <c r="F221" i="9" s="1"/>
  <c r="F171" i="9"/>
  <c r="F220" i="9" s="1"/>
  <c r="F170" i="9"/>
  <c r="F219" i="9" s="1"/>
  <c r="F169" i="9"/>
  <c r="F168" i="9"/>
  <c r="F217" i="9" s="1"/>
  <c r="F167" i="9"/>
  <c r="F271" i="9" s="1"/>
  <c r="F7" i="8" l="1"/>
  <c r="F8" i="8"/>
  <c r="H292" i="9"/>
  <c r="I294" i="9"/>
  <c r="I290" i="9"/>
  <c r="F275" i="9"/>
  <c r="F276" i="9"/>
  <c r="F288" i="9"/>
  <c r="F303" i="9"/>
  <c r="F295" i="9"/>
  <c r="F297" i="9"/>
  <c r="F225" i="9"/>
  <c r="F257" i="9"/>
  <c r="F263" i="9"/>
  <c r="F259" i="9"/>
  <c r="F258" i="9"/>
  <c r="F262" i="9"/>
  <c r="F261" i="9"/>
  <c r="F246" i="9"/>
  <c r="F245" i="9"/>
  <c r="F281" i="9"/>
  <c r="F307" i="9"/>
  <c r="F224" i="9"/>
  <c r="F282" i="9"/>
  <c r="F250" i="9"/>
  <c r="F249" i="9"/>
  <c r="F284" i="9"/>
  <c r="F309" i="9"/>
  <c r="F265" i="9"/>
  <c r="F248" i="9"/>
  <c r="F286" i="9"/>
  <c r="F283" i="9"/>
  <c r="F316" i="9"/>
  <c r="F264" i="9"/>
  <c r="F287" i="9"/>
  <c r="F310" i="9"/>
  <c r="F274" i="9"/>
  <c r="F223" i="9"/>
  <c r="F242" i="9"/>
  <c r="F277" i="9"/>
  <c r="F311" i="9"/>
  <c r="F299" i="9"/>
  <c r="F312" i="9"/>
  <c r="F234" i="9"/>
  <c r="F240" i="9"/>
  <c r="F252" i="9"/>
  <c r="F272" i="9"/>
  <c r="F300" i="9"/>
  <c r="F273" i="9"/>
  <c r="F218" i="9"/>
  <c r="F285" i="9"/>
  <c r="F230" i="9"/>
  <c r="B55" i="8" l="1"/>
  <c r="B57" i="8" s="1"/>
  <c r="V28" i="9" l="1"/>
  <c r="W28" i="9"/>
  <c r="V29" i="9"/>
  <c r="W29" i="9"/>
  <c r="V30" i="9"/>
  <c r="W30" i="9"/>
  <c r="V31" i="9"/>
  <c r="W31" i="9"/>
  <c r="V32" i="9"/>
  <c r="W32" i="9"/>
  <c r="V33" i="9"/>
  <c r="W33" i="9"/>
  <c r="V34" i="9"/>
  <c r="W34" i="9"/>
  <c r="V35" i="9"/>
  <c r="W35" i="9"/>
  <c r="V36" i="9"/>
  <c r="W36" i="9"/>
  <c r="V37" i="9"/>
  <c r="W37" i="9"/>
  <c r="V38" i="9"/>
  <c r="W38" i="9"/>
  <c r="V39" i="9"/>
  <c r="W39" i="9"/>
  <c r="V40" i="9"/>
  <c r="W40" i="9"/>
  <c r="V41" i="9"/>
  <c r="W41" i="9"/>
  <c r="V42" i="9"/>
  <c r="W42" i="9"/>
  <c r="V43" i="9"/>
  <c r="W43" i="9"/>
  <c r="V44" i="9"/>
  <c r="W44" i="9"/>
  <c r="V45" i="9"/>
  <c r="W45" i="9"/>
  <c r="V46" i="9"/>
  <c r="W46" i="9"/>
  <c r="V47" i="9"/>
  <c r="W47" i="9"/>
  <c r="V48" i="9"/>
  <c r="W48" i="9"/>
  <c r="V49" i="9"/>
  <c r="W49" i="9"/>
  <c r="V50" i="9"/>
  <c r="W50" i="9"/>
  <c r="V51" i="9"/>
  <c r="W51" i="9"/>
  <c r="V52" i="9"/>
  <c r="W52" i="9"/>
  <c r="V53" i="9"/>
  <c r="W53" i="9"/>
  <c r="V54" i="9"/>
  <c r="W54" i="9"/>
  <c r="V55" i="9"/>
  <c r="W55" i="9"/>
  <c r="V56" i="9"/>
  <c r="W56" i="9"/>
  <c r="V57" i="9"/>
  <c r="W57" i="9"/>
  <c r="V58" i="9"/>
  <c r="W58" i="9"/>
  <c r="V59" i="9"/>
  <c r="W59" i="9"/>
  <c r="V60" i="9"/>
  <c r="W60" i="9"/>
  <c r="B13" i="5" l="1"/>
  <c r="T91" i="9" s="1"/>
  <c r="T95" i="9"/>
  <c r="T89" i="9"/>
  <c r="T88" i="9"/>
  <c r="W88" i="9" s="1"/>
  <c r="T85" i="9"/>
  <c r="T83" i="9"/>
  <c r="T77" i="9"/>
  <c r="T75" i="9"/>
  <c r="T71" i="9"/>
  <c r="W71" i="9" s="1"/>
  <c r="T70" i="9"/>
  <c r="W70" i="9" s="1"/>
  <c r="V27" i="9"/>
  <c r="V21" i="9"/>
  <c r="V20" i="9"/>
  <c r="V19" i="9"/>
  <c r="V18" i="9"/>
  <c r="V17" i="9"/>
  <c r="V16" i="9"/>
  <c r="V15" i="9"/>
  <c r="V14" i="9"/>
  <c r="V13" i="9"/>
  <c r="V12" i="9"/>
  <c r="V11" i="9"/>
  <c r="V10" i="9"/>
  <c r="V9" i="9"/>
  <c r="V8" i="9"/>
  <c r="V7" i="9"/>
  <c r="V6" i="9"/>
  <c r="V5" i="9"/>
  <c r="V4" i="9"/>
  <c r="V3" i="9"/>
  <c r="T23" i="9"/>
  <c r="W23" i="9" s="1"/>
  <c r="T22" i="9"/>
  <c r="S89" i="9"/>
  <c r="S116" i="9" s="1"/>
  <c r="S88" i="9"/>
  <c r="S115" i="9" s="1"/>
  <c r="S71" i="9"/>
  <c r="S106" i="9" s="1"/>
  <c r="S70" i="9"/>
  <c r="S105" i="9" s="1"/>
  <c r="S23" i="9"/>
  <c r="S22" i="9"/>
  <c r="E265" i="9"/>
  <c r="E264" i="9"/>
  <c r="E263" i="9"/>
  <c r="E262" i="9"/>
  <c r="E261" i="9"/>
  <c r="E260" i="9"/>
  <c r="E259" i="9"/>
  <c r="E258" i="9"/>
  <c r="E257" i="9"/>
  <c r="E256" i="9"/>
  <c r="E255" i="9"/>
  <c r="E254" i="9"/>
  <c r="E253" i="9"/>
  <c r="E252" i="9"/>
  <c r="E251" i="9"/>
  <c r="E250" i="9"/>
  <c r="E249" i="9"/>
  <c r="E248" i="9"/>
  <c r="E247" i="9"/>
  <c r="E246" i="9"/>
  <c r="E245" i="9"/>
  <c r="E244" i="9"/>
  <c r="E243" i="9"/>
  <c r="E242" i="9"/>
  <c r="E241" i="9"/>
  <c r="E240" i="9"/>
  <c r="E235" i="9"/>
  <c r="C212" i="9"/>
  <c r="B212" i="9"/>
  <c r="C211" i="9"/>
  <c r="B211" i="9"/>
  <c r="B320" i="9" s="1"/>
  <c r="C210" i="9"/>
  <c r="B210" i="9"/>
  <c r="C209" i="9"/>
  <c r="B209" i="9"/>
  <c r="C208" i="9"/>
  <c r="B208" i="9"/>
  <c r="B317" i="9" s="1"/>
  <c r="C207" i="9"/>
  <c r="B207" i="9"/>
  <c r="C206" i="9"/>
  <c r="B206" i="9"/>
  <c r="C205" i="9"/>
  <c r="B205" i="9"/>
  <c r="B314" i="9" s="1"/>
  <c r="C204" i="9"/>
  <c r="B204" i="9"/>
  <c r="B313" i="9" s="1"/>
  <c r="C203" i="9"/>
  <c r="B203" i="9"/>
  <c r="C202" i="9"/>
  <c r="B202" i="9"/>
  <c r="C201" i="9"/>
  <c r="B201" i="9"/>
  <c r="C200" i="9"/>
  <c r="B200" i="9"/>
  <c r="C199" i="9"/>
  <c r="B199" i="9"/>
  <c r="C198" i="9"/>
  <c r="B198" i="9"/>
  <c r="C197" i="9"/>
  <c r="B197" i="9"/>
  <c r="C196" i="9"/>
  <c r="B196" i="9"/>
  <c r="C195" i="9"/>
  <c r="B195" i="9"/>
  <c r="B304" i="9" s="1"/>
  <c r="C194" i="9"/>
  <c r="B194" i="9"/>
  <c r="C193" i="9"/>
  <c r="B193" i="9"/>
  <c r="C192" i="9"/>
  <c r="B192" i="9"/>
  <c r="C191" i="9"/>
  <c r="B191" i="9"/>
  <c r="C190" i="9"/>
  <c r="B190" i="9"/>
  <c r="C189" i="9"/>
  <c r="B189" i="9"/>
  <c r="B298" i="9" s="1"/>
  <c r="B186" i="9"/>
  <c r="B185" i="9"/>
  <c r="B184" i="9"/>
  <c r="B183" i="9"/>
  <c r="B182" i="9"/>
  <c r="B181" i="9"/>
  <c r="B180" i="9"/>
  <c r="B179" i="9"/>
  <c r="B178" i="9"/>
  <c r="B177" i="9"/>
  <c r="B176" i="9"/>
  <c r="B280" i="9" s="1"/>
  <c r="B175" i="9"/>
  <c r="B174" i="9"/>
  <c r="B173" i="9"/>
  <c r="B172" i="9"/>
  <c r="B276" i="9" s="1"/>
  <c r="B171" i="9"/>
  <c r="B170" i="9"/>
  <c r="B274" i="9" s="1"/>
  <c r="B169" i="9"/>
  <c r="B168" i="9"/>
  <c r="B167" i="9"/>
  <c r="B271" i="9" s="1"/>
  <c r="E126" i="9"/>
  <c r="B188" i="9" s="1"/>
  <c r="B297" i="9" s="1"/>
  <c r="C126" i="9"/>
  <c r="C188" i="9" s="1"/>
  <c r="E125" i="9"/>
  <c r="B187" i="9" s="1"/>
  <c r="B296" i="9" s="1"/>
  <c r="C125" i="9"/>
  <c r="C187" i="9" s="1"/>
  <c r="R89" i="9"/>
  <c r="Q89" i="9"/>
  <c r="Q116" i="9" s="1"/>
  <c r="P89" i="9"/>
  <c r="P116" i="9" s="1"/>
  <c r="O89" i="9"/>
  <c r="O116" i="9" s="1"/>
  <c r="N89" i="9"/>
  <c r="N116" i="9" s="1"/>
  <c r="M89" i="9"/>
  <c r="M116" i="9" s="1"/>
  <c r="L89" i="9"/>
  <c r="L116" i="9" s="1"/>
  <c r="K89" i="9"/>
  <c r="K116" i="9" s="1"/>
  <c r="J89" i="9"/>
  <c r="J116" i="9" s="1"/>
  <c r="I89" i="9"/>
  <c r="I116" i="9" s="1"/>
  <c r="H89" i="9"/>
  <c r="H116" i="9" s="1"/>
  <c r="G89" i="9"/>
  <c r="G116" i="9" s="1"/>
  <c r="R88" i="9"/>
  <c r="Q88" i="9"/>
  <c r="Q115" i="9" s="1"/>
  <c r="P88" i="9"/>
  <c r="P115" i="9" s="1"/>
  <c r="O88" i="9"/>
  <c r="O115" i="9" s="1"/>
  <c r="N88" i="9"/>
  <c r="N115" i="9" s="1"/>
  <c r="M88" i="9"/>
  <c r="M115" i="9" s="1"/>
  <c r="L88" i="9"/>
  <c r="L115" i="9" s="1"/>
  <c r="K88" i="9"/>
  <c r="K115" i="9" s="1"/>
  <c r="J88" i="9"/>
  <c r="J115" i="9" s="1"/>
  <c r="I88" i="9"/>
  <c r="I115" i="9" s="1"/>
  <c r="H88" i="9"/>
  <c r="H115" i="9" s="1"/>
  <c r="G88" i="9"/>
  <c r="G115" i="9" s="1"/>
  <c r="R71" i="9"/>
  <c r="Q71" i="9"/>
  <c r="Q106" i="9" s="1"/>
  <c r="P71" i="9"/>
  <c r="P106" i="9" s="1"/>
  <c r="O71" i="9"/>
  <c r="O106" i="9" s="1"/>
  <c r="N71" i="9"/>
  <c r="N106" i="9" s="1"/>
  <c r="M71" i="9"/>
  <c r="M106" i="9" s="1"/>
  <c r="L71" i="9"/>
  <c r="L106" i="9" s="1"/>
  <c r="K71" i="9"/>
  <c r="K106" i="9" s="1"/>
  <c r="J71" i="9"/>
  <c r="J106" i="9" s="1"/>
  <c r="I71" i="9"/>
  <c r="I106" i="9" s="1"/>
  <c r="H71" i="9"/>
  <c r="H106" i="9" s="1"/>
  <c r="G71" i="9"/>
  <c r="G106" i="9" s="1"/>
  <c r="R70" i="9"/>
  <c r="Q70" i="9"/>
  <c r="Q105" i="9" s="1"/>
  <c r="P70" i="9"/>
  <c r="P105" i="9" s="1"/>
  <c r="O70" i="9"/>
  <c r="O105" i="9" s="1"/>
  <c r="N70" i="9"/>
  <c r="N105" i="9" s="1"/>
  <c r="M70" i="9"/>
  <c r="M105" i="9" s="1"/>
  <c r="L70" i="9"/>
  <c r="L105" i="9" s="1"/>
  <c r="K70" i="9"/>
  <c r="K105" i="9" s="1"/>
  <c r="J70" i="9"/>
  <c r="J105" i="9" s="1"/>
  <c r="I70" i="9"/>
  <c r="I105" i="9" s="1"/>
  <c r="H70" i="9"/>
  <c r="H105" i="9" s="1"/>
  <c r="G70" i="9"/>
  <c r="G105" i="9" s="1"/>
  <c r="W27" i="9"/>
  <c r="R23" i="9"/>
  <c r="Q23" i="9"/>
  <c r="P23" i="9"/>
  <c r="O23" i="9"/>
  <c r="N23" i="9"/>
  <c r="M23" i="9"/>
  <c r="L23" i="9"/>
  <c r="K23" i="9"/>
  <c r="R22" i="9"/>
  <c r="Q22" i="9"/>
  <c r="P22" i="9"/>
  <c r="O22" i="9"/>
  <c r="N22" i="9"/>
  <c r="M22" i="9"/>
  <c r="L22" i="9"/>
  <c r="K22" i="9"/>
  <c r="E22" i="9"/>
  <c r="W21" i="9"/>
  <c r="C185" i="9" s="1"/>
  <c r="E21" i="9"/>
  <c r="W20" i="9"/>
  <c r="C184" i="9" s="1"/>
  <c r="E20" i="9"/>
  <c r="W19" i="9"/>
  <c r="C183" i="9" s="1"/>
  <c r="E19" i="9"/>
  <c r="W18" i="9"/>
  <c r="C182" i="9" s="1"/>
  <c r="E18" i="9"/>
  <c r="W17" i="9"/>
  <c r="C181" i="9" s="1"/>
  <c r="E17" i="9"/>
  <c r="W16" i="9"/>
  <c r="C180" i="9" s="1"/>
  <c r="E16" i="9"/>
  <c r="W15" i="9"/>
  <c r="C179" i="9" s="1"/>
  <c r="E15" i="9"/>
  <c r="W14" i="9"/>
  <c r="C178" i="9" s="1"/>
  <c r="E14" i="9"/>
  <c r="W13" i="9"/>
  <c r="C177" i="9" s="1"/>
  <c r="E13" i="9"/>
  <c r="W12" i="9"/>
  <c r="C176" i="9" s="1"/>
  <c r="E12" i="9"/>
  <c r="W11" i="9"/>
  <c r="C175" i="9" s="1"/>
  <c r="E11" i="9"/>
  <c r="W10" i="9"/>
  <c r="C174" i="9" s="1"/>
  <c r="E10" i="9"/>
  <c r="W9" i="9"/>
  <c r="C173" i="9" s="1"/>
  <c r="E9" i="9"/>
  <c r="W8" i="9"/>
  <c r="C172" i="9" s="1"/>
  <c r="E8" i="9"/>
  <c r="W7" i="9"/>
  <c r="C171" i="9" s="1"/>
  <c r="E7" i="9"/>
  <c r="W6" i="9"/>
  <c r="C170" i="9" s="1"/>
  <c r="E6" i="9"/>
  <c r="W5" i="9"/>
  <c r="C169" i="9" s="1"/>
  <c r="E5" i="9"/>
  <c r="W4" i="9"/>
  <c r="C168" i="9" s="1"/>
  <c r="E4" i="9"/>
  <c r="W3" i="9"/>
  <c r="C167" i="9" s="1"/>
  <c r="E3" i="9"/>
  <c r="A231" i="6"/>
  <c r="A230" i="6"/>
  <c r="A229" i="6"/>
  <c r="E228" i="6"/>
  <c r="B228" i="6"/>
  <c r="A228" i="6"/>
  <c r="A227" i="6"/>
  <c r="A226" i="6"/>
  <c r="E225" i="6"/>
  <c r="A225" i="6"/>
  <c r="C224" i="6"/>
  <c r="A224" i="6"/>
  <c r="E223" i="6"/>
  <c r="A223" i="6"/>
  <c r="A222" i="6"/>
  <c r="E221" i="6"/>
  <c r="A221" i="6"/>
  <c r="E220" i="6"/>
  <c r="A220" i="6"/>
  <c r="E219" i="6"/>
  <c r="A219" i="6"/>
  <c r="A218" i="6"/>
  <c r="A217" i="6"/>
  <c r="E216" i="6"/>
  <c r="B216" i="6"/>
  <c r="A216" i="6"/>
  <c r="A215" i="6"/>
  <c r="A214" i="6"/>
  <c r="E213" i="6"/>
  <c r="A213" i="6"/>
  <c r="C212" i="6"/>
  <c r="A212" i="6"/>
  <c r="E211" i="6"/>
  <c r="A211" i="6"/>
  <c r="A210" i="6"/>
  <c r="E209" i="6"/>
  <c r="A209" i="6"/>
  <c r="E208" i="6"/>
  <c r="A208" i="6"/>
  <c r="E207" i="6"/>
  <c r="A207" i="6"/>
  <c r="A206" i="6"/>
  <c r="A205" i="6"/>
  <c r="E204" i="6"/>
  <c r="A204" i="6"/>
  <c r="A194" i="6"/>
  <c r="E193" i="6"/>
  <c r="B193" i="6"/>
  <c r="A193" i="6"/>
  <c r="E192" i="6"/>
  <c r="A192" i="6"/>
  <c r="A191" i="6"/>
  <c r="E190" i="6"/>
  <c r="A190" i="6"/>
  <c r="A189" i="6"/>
  <c r="B188" i="6"/>
  <c r="A188" i="6"/>
  <c r="A187" i="6"/>
  <c r="E186" i="6"/>
  <c r="A186" i="6"/>
  <c r="E185" i="6"/>
  <c r="A185" i="6"/>
  <c r="A184" i="6"/>
  <c r="B183" i="6"/>
  <c r="A183" i="6"/>
  <c r="A182" i="6"/>
  <c r="E181" i="6"/>
  <c r="B181" i="6"/>
  <c r="A181" i="6"/>
  <c r="E180" i="6"/>
  <c r="A180" i="6"/>
  <c r="A179" i="6"/>
  <c r="E178" i="6"/>
  <c r="A178" i="6"/>
  <c r="A177" i="6"/>
  <c r="B176" i="6"/>
  <c r="A176" i="6"/>
  <c r="A175" i="6"/>
  <c r="E174" i="6"/>
  <c r="A174" i="6"/>
  <c r="E173" i="6"/>
  <c r="A173" i="6"/>
  <c r="A172" i="6"/>
  <c r="B171" i="6"/>
  <c r="A171" i="6"/>
  <c r="A170" i="6"/>
  <c r="E169" i="6"/>
  <c r="A169" i="6"/>
  <c r="E235" i="7"/>
  <c r="E194" i="6" s="1"/>
  <c r="E234" i="7"/>
  <c r="B234" i="7"/>
  <c r="E233" i="7"/>
  <c r="E227" i="6" s="1"/>
  <c r="E232" i="7"/>
  <c r="E191" i="6" s="1"/>
  <c r="C232" i="7"/>
  <c r="C191" i="6" s="1"/>
  <c r="E231" i="7"/>
  <c r="E230" i="7"/>
  <c r="E224" i="6" s="1"/>
  <c r="C230" i="7"/>
  <c r="C189" i="6" s="1"/>
  <c r="B230" i="7"/>
  <c r="E229" i="7"/>
  <c r="E188" i="6" s="1"/>
  <c r="B229" i="7"/>
  <c r="B223" i="6" s="1"/>
  <c r="E228" i="7"/>
  <c r="E187" i="6" s="1"/>
  <c r="C228" i="7"/>
  <c r="C222" i="6" s="1"/>
  <c r="E227" i="7"/>
  <c r="E226" i="7"/>
  <c r="C226" i="7"/>
  <c r="C185" i="6" s="1"/>
  <c r="B226" i="7"/>
  <c r="E225" i="7"/>
  <c r="E184" i="6" s="1"/>
  <c r="C225" i="7"/>
  <c r="C219" i="6" s="1"/>
  <c r="B225" i="7"/>
  <c r="E224" i="7"/>
  <c r="E183" i="6" s="1"/>
  <c r="C224" i="7"/>
  <c r="C183" i="6" s="1"/>
  <c r="B224" i="7"/>
  <c r="B218" i="6" s="1"/>
  <c r="E223" i="7"/>
  <c r="E182" i="6" s="1"/>
  <c r="E222" i="7"/>
  <c r="B222" i="7"/>
  <c r="E221" i="7"/>
  <c r="E215" i="6" s="1"/>
  <c r="E220" i="7"/>
  <c r="E179" i="6" s="1"/>
  <c r="C220" i="7"/>
  <c r="C214" i="6" s="1"/>
  <c r="E219" i="7"/>
  <c r="E218" i="7"/>
  <c r="E212" i="6" s="1"/>
  <c r="C218" i="7"/>
  <c r="C177" i="6" s="1"/>
  <c r="B218" i="7"/>
  <c r="E217" i="7"/>
  <c r="E176" i="6" s="1"/>
  <c r="B217" i="7"/>
  <c r="B211" i="6" s="1"/>
  <c r="E216" i="7"/>
  <c r="E175" i="6" s="1"/>
  <c r="C216" i="7"/>
  <c r="C210" i="6" s="1"/>
  <c r="E215" i="7"/>
  <c r="E214" i="7"/>
  <c r="C214" i="7"/>
  <c r="C173" i="6" s="1"/>
  <c r="B214" i="7"/>
  <c r="E213" i="7"/>
  <c r="E172" i="6" s="1"/>
  <c r="C213" i="7"/>
  <c r="C207" i="6" s="1"/>
  <c r="B213" i="7"/>
  <c r="B172" i="6" s="1"/>
  <c r="E212" i="7"/>
  <c r="E171" i="6" s="1"/>
  <c r="C212" i="7"/>
  <c r="C206" i="6" s="1"/>
  <c r="B212" i="7"/>
  <c r="B206" i="6" s="1"/>
  <c r="E211" i="7"/>
  <c r="E170" i="6" s="1"/>
  <c r="E210" i="7"/>
  <c r="E205" i="7"/>
  <c r="B191" i="7"/>
  <c r="B192" i="7"/>
  <c r="B193" i="7"/>
  <c r="B194" i="7"/>
  <c r="B195" i="7"/>
  <c r="B197" i="7"/>
  <c r="B203" i="7"/>
  <c r="B204" i="7"/>
  <c r="B205" i="7"/>
  <c r="E13" i="6"/>
  <c r="E14" i="6"/>
  <c r="C159" i="7"/>
  <c r="C160" i="7"/>
  <c r="C161" i="7"/>
  <c r="C162" i="7"/>
  <c r="C215" i="7" s="1"/>
  <c r="C163" i="7"/>
  <c r="C164" i="7"/>
  <c r="C217" i="7" s="1"/>
  <c r="C165" i="7"/>
  <c r="C166" i="7"/>
  <c r="C219" i="7" s="1"/>
  <c r="C167" i="7"/>
  <c r="C168" i="7"/>
  <c r="C221" i="7" s="1"/>
  <c r="C169" i="7"/>
  <c r="C222" i="7" s="1"/>
  <c r="C170" i="7"/>
  <c r="C223" i="7" s="1"/>
  <c r="C171" i="7"/>
  <c r="C172" i="7"/>
  <c r="C173" i="7"/>
  <c r="C174" i="7"/>
  <c r="C227" i="7" s="1"/>
  <c r="C175" i="7"/>
  <c r="C176" i="7"/>
  <c r="C229" i="7" s="1"/>
  <c r="C177" i="7"/>
  <c r="C178" i="7"/>
  <c r="C231" i="7" s="1"/>
  <c r="C179" i="7"/>
  <c r="C180" i="7"/>
  <c r="C233" i="7" s="1"/>
  <c r="C181" i="7"/>
  <c r="C234" i="7" s="1"/>
  <c r="C182" i="7"/>
  <c r="C235" i="7" s="1"/>
  <c r="B159" i="7"/>
  <c r="B160" i="7"/>
  <c r="B161" i="7"/>
  <c r="B162" i="7"/>
  <c r="B215" i="7" s="1"/>
  <c r="B163" i="7"/>
  <c r="B216" i="7" s="1"/>
  <c r="B164" i="7"/>
  <c r="B165" i="7"/>
  <c r="B166" i="7"/>
  <c r="B219" i="7" s="1"/>
  <c r="B167" i="7"/>
  <c r="B220" i="7" s="1"/>
  <c r="B168" i="7"/>
  <c r="B221" i="7" s="1"/>
  <c r="B169" i="7"/>
  <c r="B170" i="7"/>
  <c r="B223" i="7" s="1"/>
  <c r="B171" i="7"/>
  <c r="B172" i="7"/>
  <c r="B173" i="7"/>
  <c r="B174" i="7"/>
  <c r="B227" i="7" s="1"/>
  <c r="B175" i="7"/>
  <c r="B228" i="7" s="1"/>
  <c r="B176" i="7"/>
  <c r="B177" i="7"/>
  <c r="B178" i="7"/>
  <c r="B231" i="7" s="1"/>
  <c r="B179" i="7"/>
  <c r="B232" i="7" s="1"/>
  <c r="B180" i="7"/>
  <c r="B233" i="7" s="1"/>
  <c r="B181" i="7"/>
  <c r="B182" i="7"/>
  <c r="B235" i="7" s="1"/>
  <c r="B156" i="7"/>
  <c r="B155" i="7"/>
  <c r="B154" i="7"/>
  <c r="B153" i="7"/>
  <c r="B202" i="7" s="1"/>
  <c r="B152" i="7"/>
  <c r="B201" i="7" s="1"/>
  <c r="D201" i="7" s="1"/>
  <c r="B151" i="7"/>
  <c r="B200" i="7" s="1"/>
  <c r="B150" i="7"/>
  <c r="B199" i="7" s="1"/>
  <c r="B149" i="7"/>
  <c r="B198" i="7" s="1"/>
  <c r="B148" i="7"/>
  <c r="B147" i="7"/>
  <c r="B196" i="7" s="1"/>
  <c r="B146" i="7"/>
  <c r="B145" i="7"/>
  <c r="B144" i="7"/>
  <c r="B143" i="7"/>
  <c r="B142" i="7"/>
  <c r="B141" i="7"/>
  <c r="B190" i="7" s="1"/>
  <c r="B140" i="7"/>
  <c r="B189" i="7" s="1"/>
  <c r="D189" i="7" s="1"/>
  <c r="B139" i="7"/>
  <c r="B188" i="7" s="1"/>
  <c r="B138" i="7"/>
  <c r="B187" i="7" s="1"/>
  <c r="D187" i="7" s="1"/>
  <c r="B137" i="7"/>
  <c r="B186" i="7" s="1"/>
  <c r="D96" i="7"/>
  <c r="B158" i="7" s="1"/>
  <c r="D95" i="7"/>
  <c r="B157" i="7" s="1"/>
  <c r="B210" i="7" s="1"/>
  <c r="B96" i="7"/>
  <c r="C158" i="7" s="1"/>
  <c r="C211" i="7" s="1"/>
  <c r="B95" i="7"/>
  <c r="C157" i="7" s="1"/>
  <c r="C210" i="7" s="1"/>
  <c r="C234" i="9" l="1"/>
  <c r="B217" i="9"/>
  <c r="B272" i="9"/>
  <c r="B229" i="9"/>
  <c r="B284" i="9"/>
  <c r="C244" i="9"/>
  <c r="C300" i="9"/>
  <c r="C250" i="9"/>
  <c r="C306" i="9"/>
  <c r="C256" i="9"/>
  <c r="C312" i="9"/>
  <c r="C262" i="9"/>
  <c r="C318" i="9"/>
  <c r="B218" i="9"/>
  <c r="B273" i="9"/>
  <c r="B230" i="9"/>
  <c r="B285" i="9"/>
  <c r="B245" i="9"/>
  <c r="B301" i="9"/>
  <c r="B251" i="9"/>
  <c r="B307" i="9"/>
  <c r="G313" i="9"/>
  <c r="B263" i="9"/>
  <c r="B319" i="9"/>
  <c r="C217" i="9"/>
  <c r="C272" i="9"/>
  <c r="C223" i="9"/>
  <c r="C278" i="9"/>
  <c r="C229" i="9"/>
  <c r="C284" i="9"/>
  <c r="G274" i="9"/>
  <c r="B231" i="9"/>
  <c r="B286" i="9"/>
  <c r="C245" i="9"/>
  <c r="C301" i="9"/>
  <c r="C251" i="9"/>
  <c r="C307" i="9"/>
  <c r="C257" i="9"/>
  <c r="C313" i="9"/>
  <c r="C263" i="9"/>
  <c r="C319" i="9"/>
  <c r="B220" i="9"/>
  <c r="B275" i="9"/>
  <c r="B232" i="9"/>
  <c r="B287" i="9"/>
  <c r="B246" i="9"/>
  <c r="B302" i="9"/>
  <c r="B252" i="9"/>
  <c r="B308" i="9"/>
  <c r="G314" i="9"/>
  <c r="G320" i="9"/>
  <c r="G276" i="9"/>
  <c r="B233" i="9"/>
  <c r="B288" i="9"/>
  <c r="C246" i="9"/>
  <c r="C302" i="9"/>
  <c r="C252" i="9"/>
  <c r="C308" i="9"/>
  <c r="C258" i="9"/>
  <c r="C314" i="9"/>
  <c r="C264" i="9"/>
  <c r="C320" i="9"/>
  <c r="C228" i="9"/>
  <c r="C283" i="9"/>
  <c r="B222" i="9"/>
  <c r="B277" i="9"/>
  <c r="B234" i="9"/>
  <c r="B289" i="9"/>
  <c r="B247" i="9"/>
  <c r="B303" i="9"/>
  <c r="B253" i="9"/>
  <c r="B309" i="9"/>
  <c r="B259" i="9"/>
  <c r="B315" i="9"/>
  <c r="B265" i="9"/>
  <c r="B321" i="9"/>
  <c r="C219" i="9"/>
  <c r="C274" i="9"/>
  <c r="C225" i="9"/>
  <c r="C280" i="9"/>
  <c r="C231" i="9"/>
  <c r="C286" i="9"/>
  <c r="B223" i="9"/>
  <c r="B278" i="9"/>
  <c r="B235" i="9"/>
  <c r="B295" i="9"/>
  <c r="C247" i="9"/>
  <c r="C303" i="9"/>
  <c r="C253" i="9"/>
  <c r="C309" i="9"/>
  <c r="C259" i="9"/>
  <c r="C315" i="9"/>
  <c r="C265" i="9"/>
  <c r="C321" i="9"/>
  <c r="C240" i="9"/>
  <c r="C296" i="9"/>
  <c r="B224" i="9"/>
  <c r="B279" i="9"/>
  <c r="G298" i="9"/>
  <c r="G304" i="9"/>
  <c r="B254" i="9"/>
  <c r="B310" i="9"/>
  <c r="B260" i="9"/>
  <c r="B316" i="9"/>
  <c r="G296" i="9"/>
  <c r="G280" i="9"/>
  <c r="C242" i="9"/>
  <c r="C298" i="9"/>
  <c r="C248" i="9"/>
  <c r="C304" i="9"/>
  <c r="C254" i="9"/>
  <c r="C310" i="9"/>
  <c r="C260" i="9"/>
  <c r="C316" i="9"/>
  <c r="C241" i="9"/>
  <c r="C297" i="9"/>
  <c r="B226" i="9"/>
  <c r="B281" i="9"/>
  <c r="B243" i="9"/>
  <c r="B299" i="9"/>
  <c r="B249" i="9"/>
  <c r="B305" i="9"/>
  <c r="B255" i="9"/>
  <c r="B311" i="9"/>
  <c r="G317" i="9"/>
  <c r="G297" i="9"/>
  <c r="B227" i="9"/>
  <c r="B282" i="9"/>
  <c r="C243" i="9"/>
  <c r="C299" i="9"/>
  <c r="C249" i="9"/>
  <c r="C305" i="9"/>
  <c r="C255" i="9"/>
  <c r="C311" i="9"/>
  <c r="C261" i="9"/>
  <c r="C317" i="9"/>
  <c r="C216" i="9"/>
  <c r="C271" i="9"/>
  <c r="C222" i="9"/>
  <c r="C277" i="9"/>
  <c r="C218" i="9"/>
  <c r="C273" i="9"/>
  <c r="C224" i="9"/>
  <c r="C279" i="9"/>
  <c r="C230" i="9"/>
  <c r="C285" i="9"/>
  <c r="C220" i="9"/>
  <c r="C275" i="9"/>
  <c r="C226" i="9"/>
  <c r="C281" i="9"/>
  <c r="C232" i="9"/>
  <c r="C287" i="9"/>
  <c r="C221" i="9"/>
  <c r="C276" i="9"/>
  <c r="C227" i="9"/>
  <c r="C282" i="9"/>
  <c r="C233" i="9"/>
  <c r="C288" i="9"/>
  <c r="G271" i="9"/>
  <c r="B228" i="9"/>
  <c r="B283" i="9"/>
  <c r="B244" i="9"/>
  <c r="B300" i="9"/>
  <c r="B250" i="9"/>
  <c r="B306" i="9"/>
  <c r="B256" i="9"/>
  <c r="B312" i="9"/>
  <c r="B262" i="9"/>
  <c r="B318" i="9"/>
  <c r="W89" i="9"/>
  <c r="T116" i="9"/>
  <c r="E181" i="9" s="1"/>
  <c r="W22" i="9"/>
  <c r="C186" i="9" s="1"/>
  <c r="B37" i="8"/>
  <c r="D202" i="7"/>
  <c r="B231" i="6"/>
  <c r="D199" i="7"/>
  <c r="D231" i="6" s="1"/>
  <c r="D197" i="7"/>
  <c r="D188" i="7"/>
  <c r="B230" i="6"/>
  <c r="D200" i="7"/>
  <c r="D230" i="6" s="1"/>
  <c r="C188" i="6"/>
  <c r="C223" i="6"/>
  <c r="C176" i="6"/>
  <c r="C211" i="6"/>
  <c r="D195" i="7"/>
  <c r="B174" i="6"/>
  <c r="B209" i="6"/>
  <c r="D190" i="7"/>
  <c r="B186" i="6"/>
  <c r="B221" i="6"/>
  <c r="D194" i="7"/>
  <c r="D214" i="7"/>
  <c r="B182" i="6"/>
  <c r="B217" i="6"/>
  <c r="C229" i="6"/>
  <c r="C194" i="6"/>
  <c r="C217" i="6"/>
  <c r="C182" i="6"/>
  <c r="C170" i="6"/>
  <c r="C205" i="6"/>
  <c r="D210" i="7"/>
  <c r="D212" i="7"/>
  <c r="D224" i="7"/>
  <c r="B169" i="6"/>
  <c r="B204" i="6"/>
  <c r="C186" i="6"/>
  <c r="C221" i="6"/>
  <c r="B194" i="6"/>
  <c r="B229" i="6"/>
  <c r="C193" i="6"/>
  <c r="C228" i="6"/>
  <c r="D196" i="7"/>
  <c r="B227" i="6"/>
  <c r="B192" i="6"/>
  <c r="B215" i="6"/>
  <c r="B180" i="6"/>
  <c r="C192" i="6"/>
  <c r="C227" i="6"/>
  <c r="C180" i="6"/>
  <c r="C215" i="6"/>
  <c r="B191" i="6"/>
  <c r="B226" i="6"/>
  <c r="D232" i="7"/>
  <c r="B214" i="6"/>
  <c r="B179" i="6"/>
  <c r="B222" i="6"/>
  <c r="B187" i="6"/>
  <c r="B175" i="6"/>
  <c r="B210" i="6"/>
  <c r="C174" i="6"/>
  <c r="C209" i="6"/>
  <c r="C169" i="6"/>
  <c r="C196" i="6" s="1"/>
  <c r="C204" i="6"/>
  <c r="C181" i="6"/>
  <c r="C216" i="6"/>
  <c r="D204" i="7"/>
  <c r="D193" i="7"/>
  <c r="D191" i="7"/>
  <c r="D205" i="7"/>
  <c r="D192" i="7"/>
  <c r="D186" i="7"/>
  <c r="D203" i="7"/>
  <c r="D198" i="7"/>
  <c r="B190" i="6"/>
  <c r="B225" i="6"/>
  <c r="B178" i="6"/>
  <c r="B213" i="6"/>
  <c r="C225" i="6"/>
  <c r="C190" i="6"/>
  <c r="C213" i="6"/>
  <c r="C178" i="6"/>
  <c r="D230" i="7"/>
  <c r="D158" i="7"/>
  <c r="C171" i="6"/>
  <c r="E206" i="6"/>
  <c r="E218" i="6"/>
  <c r="C179" i="6"/>
  <c r="B184" i="6"/>
  <c r="E214" i="6"/>
  <c r="C172" i="6"/>
  <c r="C184" i="6"/>
  <c r="B211" i="7"/>
  <c r="D234" i="7" s="1"/>
  <c r="E205" i="6"/>
  <c r="B208" i="6"/>
  <c r="E217" i="6"/>
  <c r="B220" i="6"/>
  <c r="E229" i="6"/>
  <c r="E226" i="6"/>
  <c r="B177" i="6"/>
  <c r="C175" i="6"/>
  <c r="E177" i="6"/>
  <c r="C187" i="6"/>
  <c r="E189" i="6"/>
  <c r="C208" i="6"/>
  <c r="E210" i="6"/>
  <c r="C220" i="6"/>
  <c r="E222" i="6"/>
  <c r="B173" i="6"/>
  <c r="B185" i="6"/>
  <c r="B189" i="6"/>
  <c r="C218" i="6"/>
  <c r="T93" i="9"/>
  <c r="W93" i="9" s="1"/>
  <c r="B207" i="6"/>
  <c r="B219" i="6"/>
  <c r="C226" i="6"/>
  <c r="B212" i="6"/>
  <c r="B224" i="6"/>
  <c r="T97" i="9"/>
  <c r="W97" i="9" s="1"/>
  <c r="T73" i="9"/>
  <c r="W73" i="9" s="1"/>
  <c r="T79" i="9"/>
  <c r="W79" i="9" s="1"/>
  <c r="T81" i="9"/>
  <c r="W81" i="9" s="1"/>
  <c r="T67" i="9"/>
  <c r="V67" i="9" s="1"/>
  <c r="T87" i="9"/>
  <c r="V87" i="9" s="1"/>
  <c r="T69" i="9"/>
  <c r="V69" i="9" s="1"/>
  <c r="T65" i="9"/>
  <c r="V65" i="9" s="1"/>
  <c r="V70" i="9"/>
  <c r="V71" i="9"/>
  <c r="V88" i="9"/>
  <c r="V89" i="9"/>
  <c r="V77" i="9"/>
  <c r="W77" i="9"/>
  <c r="V85" i="9"/>
  <c r="W85" i="9"/>
  <c r="T105" i="9"/>
  <c r="E170" i="9" s="1"/>
  <c r="R115" i="9"/>
  <c r="V95" i="9"/>
  <c r="W95" i="9"/>
  <c r="T106" i="9"/>
  <c r="E171" i="9" s="1"/>
  <c r="R116" i="9"/>
  <c r="V75" i="9"/>
  <c r="W75" i="9"/>
  <c r="V83" i="9"/>
  <c r="W83" i="9"/>
  <c r="V91" i="9"/>
  <c r="W91" i="9"/>
  <c r="T115" i="9"/>
  <c r="E180" i="9" s="1"/>
  <c r="R105" i="9"/>
  <c r="V97" i="9"/>
  <c r="R106" i="9"/>
  <c r="V22" i="9"/>
  <c r="V23" i="9"/>
  <c r="D194" i="9"/>
  <c r="D200" i="9"/>
  <c r="D170" i="9"/>
  <c r="D176" i="9"/>
  <c r="D195" i="9"/>
  <c r="B248" i="9"/>
  <c r="D182" i="9"/>
  <c r="D190" i="9"/>
  <c r="D196" i="9"/>
  <c r="B225" i="9"/>
  <c r="B240" i="9"/>
  <c r="D187" i="9"/>
  <c r="D191" i="9"/>
  <c r="B221" i="9"/>
  <c r="D172" i="9"/>
  <c r="D178" i="9"/>
  <c r="D184" i="9"/>
  <c r="D203" i="9"/>
  <c r="D171" i="9"/>
  <c r="D174" i="9"/>
  <c r="D177" i="9"/>
  <c r="D167" i="9"/>
  <c r="D180" i="9"/>
  <c r="B216" i="9"/>
  <c r="D183" i="9"/>
  <c r="D168" i="9"/>
  <c r="D206" i="9"/>
  <c r="D198" i="9"/>
  <c r="D186" i="9"/>
  <c r="D202" i="9"/>
  <c r="D181" i="9"/>
  <c r="D185" i="9"/>
  <c r="D204" i="9"/>
  <c r="B257" i="9"/>
  <c r="D179" i="9"/>
  <c r="B219" i="9"/>
  <c r="D169" i="9"/>
  <c r="D210" i="9"/>
  <c r="D188" i="9"/>
  <c r="B241" i="9"/>
  <c r="D175" i="9"/>
  <c r="D189" i="9"/>
  <c r="B242" i="9"/>
  <c r="D199" i="9"/>
  <c r="D211" i="9"/>
  <c r="B264" i="9"/>
  <c r="D193" i="9"/>
  <c r="D207" i="9"/>
  <c r="B261" i="9"/>
  <c r="D208" i="9"/>
  <c r="D212" i="9"/>
  <c r="D192" i="9"/>
  <c r="D173" i="9"/>
  <c r="D209" i="9"/>
  <c r="D205" i="9"/>
  <c r="D201" i="9"/>
  <c r="B258" i="9"/>
  <c r="D197" i="9"/>
  <c r="D144" i="7"/>
  <c r="D148" i="7"/>
  <c r="D149" i="7"/>
  <c r="D163" i="7"/>
  <c r="D180" i="7"/>
  <c r="D141" i="7"/>
  <c r="D152" i="7"/>
  <c r="D145" i="7"/>
  <c r="D157" i="7"/>
  <c r="D168" i="7"/>
  <c r="D179" i="7"/>
  <c r="D178" i="7"/>
  <c r="D138" i="7"/>
  <c r="D177" i="7"/>
  <c r="D139" i="7"/>
  <c r="D176" i="7"/>
  <c r="D140" i="7"/>
  <c r="D174" i="7"/>
  <c r="D173" i="7"/>
  <c r="D172" i="7"/>
  <c r="D171" i="7"/>
  <c r="D159" i="7"/>
  <c r="D182" i="7"/>
  <c r="D170" i="7"/>
  <c r="D167" i="7"/>
  <c r="D166" i="7"/>
  <c r="D150" i="7"/>
  <c r="D165" i="7"/>
  <c r="D151" i="7"/>
  <c r="D164" i="7"/>
  <c r="D175" i="7"/>
  <c r="D162" i="7"/>
  <c r="D161" i="7"/>
  <c r="D160" i="7"/>
  <c r="D146" i="7"/>
  <c r="D181" i="7"/>
  <c r="D169" i="7"/>
  <c r="D156" i="7"/>
  <c r="D143" i="7"/>
  <c r="D154" i="7"/>
  <c r="D153" i="7"/>
  <c r="D137" i="7"/>
  <c r="D147" i="7"/>
  <c r="D155" i="7"/>
  <c r="D142" i="7"/>
  <c r="S22" i="7"/>
  <c r="V22" i="7" s="1"/>
  <c r="C156" i="7" s="1"/>
  <c r="C205" i="7" s="1"/>
  <c r="R22" i="7"/>
  <c r="Q22" i="7"/>
  <c r="P22" i="7"/>
  <c r="O22" i="7"/>
  <c r="N22" i="7"/>
  <c r="M22" i="7"/>
  <c r="L22" i="7"/>
  <c r="K22" i="7"/>
  <c r="E22" i="7"/>
  <c r="B14" i="5"/>
  <c r="V79" i="9" l="1"/>
  <c r="E230" i="9"/>
  <c r="E285" i="9"/>
  <c r="G312" i="9"/>
  <c r="G305" i="9"/>
  <c r="H304" i="9"/>
  <c r="I304" i="9"/>
  <c r="G277" i="9"/>
  <c r="G288" i="9"/>
  <c r="G287" i="9"/>
  <c r="G286" i="9"/>
  <c r="H313" i="9"/>
  <c r="I313" i="9"/>
  <c r="V81" i="9"/>
  <c r="H297" i="9"/>
  <c r="I297" i="9"/>
  <c r="E229" i="9"/>
  <c r="E284" i="9"/>
  <c r="G306" i="9"/>
  <c r="G299" i="9"/>
  <c r="I298" i="9"/>
  <c r="H298" i="9"/>
  <c r="G321" i="9"/>
  <c r="H276" i="9"/>
  <c r="I276" i="9"/>
  <c r="G275" i="9"/>
  <c r="G307" i="9"/>
  <c r="E219" i="9"/>
  <c r="E274" i="9"/>
  <c r="H274" i="9"/>
  <c r="I274" i="9"/>
  <c r="C235" i="9"/>
  <c r="C295" i="9"/>
  <c r="G300" i="9"/>
  <c r="G282" i="9"/>
  <c r="G281" i="9"/>
  <c r="I280" i="9"/>
  <c r="H280" i="9"/>
  <c r="G279" i="9"/>
  <c r="G295" i="9"/>
  <c r="G315" i="9"/>
  <c r="H320" i="9"/>
  <c r="I320" i="9"/>
  <c r="G301" i="9"/>
  <c r="G283" i="9"/>
  <c r="H296" i="9"/>
  <c r="I296" i="9"/>
  <c r="G278" i="9"/>
  <c r="G309" i="9"/>
  <c r="G285" i="9"/>
  <c r="G284" i="9"/>
  <c r="H314" i="9"/>
  <c r="I314" i="9"/>
  <c r="I271" i="9"/>
  <c r="H271" i="9"/>
  <c r="I317" i="9"/>
  <c r="H317" i="9"/>
  <c r="G316" i="9"/>
  <c r="G303" i="9"/>
  <c r="G308" i="9"/>
  <c r="G273" i="9"/>
  <c r="G272" i="9"/>
  <c r="V73" i="9"/>
  <c r="G318" i="9"/>
  <c r="G311" i="9"/>
  <c r="G310" i="9"/>
  <c r="G289" i="9"/>
  <c r="G302" i="9"/>
  <c r="G319" i="9"/>
  <c r="E220" i="9"/>
  <c r="E275" i="9"/>
  <c r="V93" i="9"/>
  <c r="W67" i="9"/>
  <c r="D193" i="6"/>
  <c r="D228" i="6"/>
  <c r="D183" i="6"/>
  <c r="D218" i="6"/>
  <c r="D171" i="6"/>
  <c r="D206" i="6"/>
  <c r="D235" i="7"/>
  <c r="D227" i="7"/>
  <c r="D229" i="7"/>
  <c r="D216" i="7"/>
  <c r="D226" i="7"/>
  <c r="D226" i="6"/>
  <c r="D191" i="6"/>
  <c r="D169" i="6"/>
  <c r="D204" i="6"/>
  <c r="D208" i="6"/>
  <c r="D173" i="6"/>
  <c r="D224" i="6"/>
  <c r="D189" i="6"/>
  <c r="B170" i="6"/>
  <c r="D211" i="7"/>
  <c r="B205" i="6"/>
  <c r="D219" i="7"/>
  <c r="D228" i="7"/>
  <c r="D222" i="7"/>
  <c r="D225" i="7"/>
  <c r="W87" i="9"/>
  <c r="D217" i="7"/>
  <c r="D213" i="7"/>
  <c r="D221" i="7"/>
  <c r="W69" i="9"/>
  <c r="D220" i="7"/>
  <c r="D223" i="7"/>
  <c r="D215" i="7"/>
  <c r="D218" i="7"/>
  <c r="D231" i="7"/>
  <c r="D233" i="7"/>
  <c r="W65" i="9"/>
  <c r="T96" i="9"/>
  <c r="T92" i="9"/>
  <c r="T84" i="9"/>
  <c r="T80" i="9"/>
  <c r="T76" i="9"/>
  <c r="T72" i="9"/>
  <c r="T68" i="9"/>
  <c r="T94" i="9"/>
  <c r="T90" i="9"/>
  <c r="T86" i="9"/>
  <c r="T82" i="9"/>
  <c r="T78" i="9"/>
  <c r="T74" i="9"/>
  <c r="T66" i="9"/>
  <c r="S94" i="9"/>
  <c r="S119" i="9" s="1"/>
  <c r="S72" i="9"/>
  <c r="S107" i="9" s="1"/>
  <c r="Q96" i="9"/>
  <c r="Q120" i="9" s="1"/>
  <c r="Q94" i="9"/>
  <c r="Q119" i="9" s="1"/>
  <c r="Q92" i="9"/>
  <c r="Q118" i="9" s="1"/>
  <c r="Q90" i="9"/>
  <c r="Q117" i="9" s="1"/>
  <c r="Q86" i="9"/>
  <c r="Q114" i="9" s="1"/>
  <c r="Q84" i="9"/>
  <c r="Q113" i="9" s="1"/>
  <c r="Q82" i="9"/>
  <c r="Q112" i="9" s="1"/>
  <c r="Q80" i="9"/>
  <c r="Q111" i="9" s="1"/>
  <c r="Q78" i="9"/>
  <c r="Q110" i="9" s="1"/>
  <c r="Q76" i="9"/>
  <c r="Q109" i="9" s="1"/>
  <c r="Q74" i="9"/>
  <c r="Q108" i="9" s="1"/>
  <c r="Q72" i="9"/>
  <c r="Q107" i="9" s="1"/>
  <c r="Q68" i="9"/>
  <c r="Q104" i="9" s="1"/>
  <c r="Q66" i="9"/>
  <c r="Q103" i="9" s="1"/>
  <c r="Q64" i="9"/>
  <c r="Q102" i="9" s="1"/>
  <c r="N66" i="9"/>
  <c r="N103" i="9" s="1"/>
  <c r="M96" i="9"/>
  <c r="M120" i="9" s="1"/>
  <c r="M92" i="9"/>
  <c r="M118" i="9" s="1"/>
  <c r="M82" i="9"/>
  <c r="M112" i="9" s="1"/>
  <c r="M76" i="9"/>
  <c r="M109" i="9" s="1"/>
  <c r="M64" i="9"/>
  <c r="M102" i="9" s="1"/>
  <c r="L90" i="9"/>
  <c r="L117" i="9" s="1"/>
  <c r="L86" i="9"/>
  <c r="L114" i="9" s="1"/>
  <c r="L82" i="9"/>
  <c r="L112" i="9" s="1"/>
  <c r="L78" i="9"/>
  <c r="L110" i="9" s="1"/>
  <c r="L72" i="9"/>
  <c r="L107" i="9" s="1"/>
  <c r="L64" i="9"/>
  <c r="L102" i="9" s="1"/>
  <c r="S84" i="9"/>
  <c r="S113" i="9" s="1"/>
  <c r="K96" i="9"/>
  <c r="K120" i="9" s="1"/>
  <c r="K92" i="9"/>
  <c r="K118" i="9" s="1"/>
  <c r="K82" i="9"/>
  <c r="K112" i="9" s="1"/>
  <c r="K80" i="9"/>
  <c r="K111" i="9" s="1"/>
  <c r="K76" i="9"/>
  <c r="K109" i="9" s="1"/>
  <c r="K72" i="9"/>
  <c r="K107" i="9" s="1"/>
  <c r="K68" i="9"/>
  <c r="K104" i="9" s="1"/>
  <c r="K64" i="9"/>
  <c r="K102" i="9" s="1"/>
  <c r="J96" i="9"/>
  <c r="J120" i="9" s="1"/>
  <c r="J90" i="9"/>
  <c r="J117" i="9" s="1"/>
  <c r="J86" i="9"/>
  <c r="J114" i="9" s="1"/>
  <c r="J84" i="9"/>
  <c r="J113" i="9" s="1"/>
  <c r="J80" i="9"/>
  <c r="J111" i="9" s="1"/>
  <c r="J74" i="9"/>
  <c r="J108" i="9" s="1"/>
  <c r="J64" i="9"/>
  <c r="J102" i="9" s="1"/>
  <c r="S80" i="9"/>
  <c r="S111" i="9" s="1"/>
  <c r="I94" i="9"/>
  <c r="I119" i="9" s="1"/>
  <c r="I90" i="9"/>
  <c r="I117" i="9" s="1"/>
  <c r="I84" i="9"/>
  <c r="I113" i="9" s="1"/>
  <c r="I80" i="9"/>
  <c r="I111" i="9" s="1"/>
  <c r="I76" i="9"/>
  <c r="I109" i="9" s="1"/>
  <c r="I72" i="9"/>
  <c r="I107" i="9" s="1"/>
  <c r="I68" i="9"/>
  <c r="I104" i="9" s="1"/>
  <c r="I64" i="9"/>
  <c r="I102" i="9" s="1"/>
  <c r="H96" i="9"/>
  <c r="H120" i="9" s="1"/>
  <c r="H90" i="9"/>
  <c r="H117" i="9" s="1"/>
  <c r="S92" i="9"/>
  <c r="S118" i="9" s="1"/>
  <c r="P96" i="9"/>
  <c r="P120" i="9" s="1"/>
  <c r="P94" i="9"/>
  <c r="P119" i="9" s="1"/>
  <c r="P92" i="9"/>
  <c r="P118" i="9" s="1"/>
  <c r="P90" i="9"/>
  <c r="P117" i="9" s="1"/>
  <c r="P86" i="9"/>
  <c r="P114" i="9" s="1"/>
  <c r="P84" i="9"/>
  <c r="P113" i="9" s="1"/>
  <c r="P82" i="9"/>
  <c r="P112" i="9" s="1"/>
  <c r="P80" i="9"/>
  <c r="P111" i="9" s="1"/>
  <c r="P78" i="9"/>
  <c r="P110" i="9" s="1"/>
  <c r="P76" i="9"/>
  <c r="P109" i="9" s="1"/>
  <c r="P74" i="9"/>
  <c r="P108" i="9" s="1"/>
  <c r="P72" i="9"/>
  <c r="P107" i="9" s="1"/>
  <c r="P68" i="9"/>
  <c r="P104" i="9" s="1"/>
  <c r="P66" i="9"/>
  <c r="P103" i="9" s="1"/>
  <c r="P64" i="9"/>
  <c r="P102" i="9" s="1"/>
  <c r="N68" i="9"/>
  <c r="N104" i="9" s="1"/>
  <c r="M94" i="9"/>
  <c r="M119" i="9" s="1"/>
  <c r="M86" i="9"/>
  <c r="M114" i="9" s="1"/>
  <c r="M80" i="9"/>
  <c r="M111" i="9" s="1"/>
  <c r="M72" i="9"/>
  <c r="M107" i="9" s="1"/>
  <c r="M68" i="9"/>
  <c r="M104" i="9" s="1"/>
  <c r="S86" i="9"/>
  <c r="S114" i="9" s="1"/>
  <c r="L94" i="9"/>
  <c r="L119" i="9" s="1"/>
  <c r="L80" i="9"/>
  <c r="L111" i="9" s="1"/>
  <c r="K90" i="9"/>
  <c r="K117" i="9" s="1"/>
  <c r="K86" i="9"/>
  <c r="K114" i="9" s="1"/>
  <c r="K78" i="9"/>
  <c r="K110" i="9" s="1"/>
  <c r="J94" i="9"/>
  <c r="J119" i="9" s="1"/>
  <c r="J76" i="9"/>
  <c r="J109" i="9" s="1"/>
  <c r="J68" i="9"/>
  <c r="J104" i="9" s="1"/>
  <c r="I66" i="9"/>
  <c r="I103" i="9" s="1"/>
  <c r="S90" i="9"/>
  <c r="S117" i="9" s="1"/>
  <c r="O96" i="9"/>
  <c r="O120" i="9" s="1"/>
  <c r="O94" i="9"/>
  <c r="O119" i="9" s="1"/>
  <c r="O92" i="9"/>
  <c r="O118" i="9" s="1"/>
  <c r="O90" i="9"/>
  <c r="O117" i="9" s="1"/>
  <c r="O86" i="9"/>
  <c r="O114" i="9" s="1"/>
  <c r="O84" i="9"/>
  <c r="O113" i="9" s="1"/>
  <c r="O82" i="9"/>
  <c r="O112" i="9" s="1"/>
  <c r="O80" i="9"/>
  <c r="O111" i="9" s="1"/>
  <c r="O78" i="9"/>
  <c r="O110" i="9" s="1"/>
  <c r="O76" i="9"/>
  <c r="O109" i="9" s="1"/>
  <c r="O74" i="9"/>
  <c r="O108" i="9" s="1"/>
  <c r="O72" i="9"/>
  <c r="O107" i="9" s="1"/>
  <c r="O68" i="9"/>
  <c r="O104" i="9" s="1"/>
  <c r="O66" i="9"/>
  <c r="O103" i="9" s="1"/>
  <c r="O64" i="9"/>
  <c r="O102" i="9" s="1"/>
  <c r="M90" i="9"/>
  <c r="M117" i="9" s="1"/>
  <c r="M84" i="9"/>
  <c r="M113" i="9" s="1"/>
  <c r="M78" i="9"/>
  <c r="M110" i="9" s="1"/>
  <c r="L96" i="9"/>
  <c r="L120" i="9" s="1"/>
  <c r="L74" i="9"/>
  <c r="L108" i="9" s="1"/>
  <c r="L66" i="9"/>
  <c r="L103" i="9" s="1"/>
  <c r="K84" i="9"/>
  <c r="K113" i="9" s="1"/>
  <c r="S82" i="9"/>
  <c r="S112" i="9" s="1"/>
  <c r="J78" i="9"/>
  <c r="J110" i="9" s="1"/>
  <c r="I92" i="9"/>
  <c r="I118" i="9" s="1"/>
  <c r="I86" i="9"/>
  <c r="I114" i="9" s="1"/>
  <c r="I82" i="9"/>
  <c r="I112" i="9" s="1"/>
  <c r="I74" i="9"/>
  <c r="I108" i="9" s="1"/>
  <c r="H94" i="9"/>
  <c r="H119" i="9" s="1"/>
  <c r="S68" i="9"/>
  <c r="S104" i="9" s="1"/>
  <c r="N96" i="9"/>
  <c r="N120" i="9" s="1"/>
  <c r="N94" i="9"/>
  <c r="N119" i="9" s="1"/>
  <c r="N92" i="9"/>
  <c r="N118" i="9" s="1"/>
  <c r="N90" i="9"/>
  <c r="N117" i="9" s="1"/>
  <c r="N86" i="9"/>
  <c r="N114" i="9" s="1"/>
  <c r="N84" i="9"/>
  <c r="N113" i="9" s="1"/>
  <c r="N82" i="9"/>
  <c r="N112" i="9" s="1"/>
  <c r="N80" i="9"/>
  <c r="N111" i="9" s="1"/>
  <c r="N78" i="9"/>
  <c r="N110" i="9" s="1"/>
  <c r="N76" i="9"/>
  <c r="N109" i="9" s="1"/>
  <c r="N74" i="9"/>
  <c r="N108" i="9" s="1"/>
  <c r="N72" i="9"/>
  <c r="N107" i="9" s="1"/>
  <c r="N64" i="9"/>
  <c r="N102" i="9" s="1"/>
  <c r="S66" i="9"/>
  <c r="S103" i="9" s="1"/>
  <c r="M74" i="9"/>
  <c r="M108" i="9" s="1"/>
  <c r="M66" i="9"/>
  <c r="M103" i="9" s="1"/>
  <c r="S64" i="9"/>
  <c r="S102" i="9" s="1"/>
  <c r="L92" i="9"/>
  <c r="L118" i="9" s="1"/>
  <c r="L84" i="9"/>
  <c r="L113" i="9" s="1"/>
  <c r="L76" i="9"/>
  <c r="L109" i="9" s="1"/>
  <c r="L68" i="9"/>
  <c r="L104" i="9" s="1"/>
  <c r="K94" i="9"/>
  <c r="K119" i="9" s="1"/>
  <c r="K74" i="9"/>
  <c r="K108" i="9" s="1"/>
  <c r="K66" i="9"/>
  <c r="K103" i="9" s="1"/>
  <c r="J92" i="9"/>
  <c r="J118" i="9" s="1"/>
  <c r="J82" i="9"/>
  <c r="J112" i="9" s="1"/>
  <c r="J72" i="9"/>
  <c r="J107" i="9" s="1"/>
  <c r="J66" i="9"/>
  <c r="J103" i="9" s="1"/>
  <c r="I96" i="9"/>
  <c r="I120" i="9" s="1"/>
  <c r="I78" i="9"/>
  <c r="I110" i="9" s="1"/>
  <c r="H92" i="9"/>
  <c r="H118" i="9" s="1"/>
  <c r="S78" i="9"/>
  <c r="S110" i="9" s="1"/>
  <c r="G96" i="9"/>
  <c r="G120" i="9" s="1"/>
  <c r="G84" i="9"/>
  <c r="G113" i="9" s="1"/>
  <c r="G76" i="9"/>
  <c r="G109" i="9" s="1"/>
  <c r="G66" i="9"/>
  <c r="G103" i="9" s="1"/>
  <c r="R82" i="9"/>
  <c r="R74" i="9"/>
  <c r="R64" i="9"/>
  <c r="R102" i="9" s="1"/>
  <c r="H74" i="9"/>
  <c r="H108" i="9" s="1"/>
  <c r="R90" i="9"/>
  <c r="G90" i="9"/>
  <c r="G117" i="9" s="1"/>
  <c r="G80" i="9"/>
  <c r="G111" i="9" s="1"/>
  <c r="G72" i="9"/>
  <c r="G107" i="9" s="1"/>
  <c r="R78" i="9"/>
  <c r="R68" i="9"/>
  <c r="R84" i="9"/>
  <c r="R66" i="9"/>
  <c r="H66" i="9"/>
  <c r="H103" i="9" s="1"/>
  <c r="R94" i="9"/>
  <c r="R80" i="9"/>
  <c r="H80" i="9"/>
  <c r="H111" i="9" s="1"/>
  <c r="H76" i="9"/>
  <c r="H109" i="9" s="1"/>
  <c r="S76" i="9"/>
  <c r="S109" i="9" s="1"/>
  <c r="G94" i="9"/>
  <c r="G119" i="9" s="1"/>
  <c r="H82" i="9"/>
  <c r="H112" i="9" s="1"/>
  <c r="H64" i="9"/>
  <c r="H102" i="9" s="1"/>
  <c r="G92" i="9"/>
  <c r="G118" i="9" s="1"/>
  <c r="H72" i="9"/>
  <c r="H107" i="9" s="1"/>
  <c r="R86" i="9"/>
  <c r="H84" i="9"/>
  <c r="H113" i="9" s="1"/>
  <c r="S74" i="9"/>
  <c r="S108" i="9" s="1"/>
  <c r="R92" i="9"/>
  <c r="G82" i="9"/>
  <c r="G112" i="9" s="1"/>
  <c r="G74" i="9"/>
  <c r="G108" i="9" s="1"/>
  <c r="G64" i="9"/>
  <c r="G102" i="9" s="1"/>
  <c r="R72" i="9"/>
  <c r="S96" i="9"/>
  <c r="S120" i="9" s="1"/>
  <c r="H86" i="9"/>
  <c r="H114" i="9" s="1"/>
  <c r="H78" i="9"/>
  <c r="H110" i="9" s="1"/>
  <c r="H68" i="9"/>
  <c r="H104" i="9" s="1"/>
  <c r="G86" i="9"/>
  <c r="G114" i="9" s="1"/>
  <c r="G78" i="9"/>
  <c r="G110" i="9" s="1"/>
  <c r="G68" i="9"/>
  <c r="G104" i="9" s="1"/>
  <c r="T64" i="9"/>
  <c r="T102" i="9" s="1"/>
  <c r="R76" i="9"/>
  <c r="R96" i="9"/>
  <c r="D230" i="9"/>
  <c r="D250" i="9"/>
  <c r="D256" i="9"/>
  <c r="D219" i="9"/>
  <c r="D253" i="9"/>
  <c r="D265" i="9"/>
  <c r="D264" i="9"/>
  <c r="D234" i="9"/>
  <c r="D224" i="9"/>
  <c r="D225" i="9"/>
  <c r="D249" i="9"/>
  <c r="D221" i="9"/>
  <c r="D243" i="9"/>
  <c r="D263" i="9"/>
  <c r="D258" i="9"/>
  <c r="D261" i="9"/>
  <c r="D246" i="9"/>
  <c r="D222" i="9"/>
  <c r="D235" i="9"/>
  <c r="D244" i="9"/>
  <c r="D232" i="9"/>
  <c r="D226" i="9"/>
  <c r="D223" i="9"/>
  <c r="D220" i="9"/>
  <c r="D257" i="9"/>
  <c r="D218" i="9"/>
  <c r="D254" i="9"/>
  <c r="D260" i="9"/>
  <c r="D241" i="9"/>
  <c r="D262" i="9"/>
  <c r="D233" i="9"/>
  <c r="D227" i="9"/>
  <c r="D228" i="9"/>
  <c r="D255" i="9"/>
  <c r="D259" i="9"/>
  <c r="D248" i="9"/>
  <c r="D217" i="9"/>
  <c r="D247" i="9"/>
  <c r="D231" i="9"/>
  <c r="D242" i="9"/>
  <c r="D252" i="9"/>
  <c r="D216" i="9"/>
  <c r="D229" i="9"/>
  <c r="D251" i="9"/>
  <c r="D240" i="9"/>
  <c r="D245" i="9"/>
  <c r="A35" i="6" a="1"/>
  <c r="U22" i="7"/>
  <c r="S23" i="7"/>
  <c r="V23" i="7" s="1"/>
  <c r="R23" i="7"/>
  <c r="Q23" i="7"/>
  <c r="P23" i="7"/>
  <c r="O23" i="7"/>
  <c r="N23" i="7"/>
  <c r="M23" i="7"/>
  <c r="L23" i="7"/>
  <c r="K23" i="7"/>
  <c r="S67" i="7"/>
  <c r="R67" i="7"/>
  <c r="R90" i="7" s="1"/>
  <c r="Q67" i="7"/>
  <c r="Q90" i="7" s="1"/>
  <c r="P67" i="7"/>
  <c r="P90" i="7" s="1"/>
  <c r="O67" i="7"/>
  <c r="O90" i="7" s="1"/>
  <c r="N67" i="7"/>
  <c r="M67" i="7"/>
  <c r="L67" i="7"/>
  <c r="K67" i="7"/>
  <c r="J67" i="7"/>
  <c r="I67" i="7"/>
  <c r="H67" i="7"/>
  <c r="G67" i="7"/>
  <c r="S66" i="7"/>
  <c r="R66" i="7"/>
  <c r="R89" i="7" s="1"/>
  <c r="Q66" i="7"/>
  <c r="Q89" i="7" s="1"/>
  <c r="P66" i="7"/>
  <c r="P89" i="7" s="1"/>
  <c r="O66" i="7"/>
  <c r="O89" i="7" s="1"/>
  <c r="N66" i="7"/>
  <c r="N89" i="7" s="1"/>
  <c r="M66" i="7"/>
  <c r="M89" i="7" s="1"/>
  <c r="L66" i="7"/>
  <c r="K66" i="7"/>
  <c r="J66" i="7"/>
  <c r="I66" i="7"/>
  <c r="H66" i="7"/>
  <c r="G66" i="7"/>
  <c r="S65" i="7"/>
  <c r="R65" i="7"/>
  <c r="R88" i="7" s="1"/>
  <c r="Q65" i="7"/>
  <c r="Q88" i="7" s="1"/>
  <c r="P65" i="7"/>
  <c r="P88" i="7" s="1"/>
  <c r="O65" i="7"/>
  <c r="O88" i="7" s="1"/>
  <c r="N65" i="7"/>
  <c r="N88" i="7" s="1"/>
  <c r="M65" i="7"/>
  <c r="M88" i="7" s="1"/>
  <c r="L65" i="7"/>
  <c r="L88" i="7" s="1"/>
  <c r="K65" i="7"/>
  <c r="K88" i="7" s="1"/>
  <c r="J65" i="7"/>
  <c r="J88" i="7" s="1"/>
  <c r="I65" i="7"/>
  <c r="I88" i="7" s="1"/>
  <c r="H65" i="7"/>
  <c r="H88" i="7" s="1"/>
  <c r="G65" i="7"/>
  <c r="G88" i="7" s="1"/>
  <c r="S64" i="7"/>
  <c r="R64" i="7"/>
  <c r="R87" i="7" s="1"/>
  <c r="Q64" i="7"/>
  <c r="Q87" i="7" s="1"/>
  <c r="P64" i="7"/>
  <c r="P87" i="7" s="1"/>
  <c r="O64" i="7"/>
  <c r="O87" i="7" s="1"/>
  <c r="N64" i="7"/>
  <c r="N87" i="7" s="1"/>
  <c r="M64" i="7"/>
  <c r="M87" i="7" s="1"/>
  <c r="L64" i="7"/>
  <c r="L87" i="7" s="1"/>
  <c r="K64" i="7"/>
  <c r="K87" i="7" s="1"/>
  <c r="J64" i="7"/>
  <c r="J87" i="7" s="1"/>
  <c r="I64" i="7"/>
  <c r="I87" i="7" s="1"/>
  <c r="H64" i="7"/>
  <c r="H87" i="7" s="1"/>
  <c r="G64" i="7"/>
  <c r="G87" i="7" s="1"/>
  <c r="S63" i="7"/>
  <c r="R63" i="7"/>
  <c r="R86" i="7" s="1"/>
  <c r="Q63" i="7"/>
  <c r="Q86" i="7" s="1"/>
  <c r="P63" i="7"/>
  <c r="P86" i="7" s="1"/>
  <c r="O63" i="7"/>
  <c r="O86" i="7" s="1"/>
  <c r="N63" i="7"/>
  <c r="N86" i="7" s="1"/>
  <c r="M63" i="7"/>
  <c r="M86" i="7" s="1"/>
  <c r="L63" i="7"/>
  <c r="L86" i="7" s="1"/>
  <c r="K63" i="7"/>
  <c r="K86" i="7" s="1"/>
  <c r="J63" i="7"/>
  <c r="J86" i="7" s="1"/>
  <c r="I63" i="7"/>
  <c r="I86" i="7" s="1"/>
  <c r="H63" i="7"/>
  <c r="H86" i="7" s="1"/>
  <c r="G63" i="7"/>
  <c r="G86" i="7" s="1"/>
  <c r="S62" i="7"/>
  <c r="R62" i="7"/>
  <c r="R85" i="7" s="1"/>
  <c r="Q62" i="7"/>
  <c r="Q85" i="7" s="1"/>
  <c r="P62" i="7"/>
  <c r="P85" i="7" s="1"/>
  <c r="O62" i="7"/>
  <c r="O85" i="7" s="1"/>
  <c r="N62" i="7"/>
  <c r="N85" i="7" s="1"/>
  <c r="M62" i="7"/>
  <c r="M85" i="7" s="1"/>
  <c r="L62" i="7"/>
  <c r="L85" i="7" s="1"/>
  <c r="K62" i="7"/>
  <c r="K85" i="7" s="1"/>
  <c r="J62" i="7"/>
  <c r="J85" i="7" s="1"/>
  <c r="I62" i="7"/>
  <c r="I85" i="7" s="1"/>
  <c r="H62" i="7"/>
  <c r="H85" i="7" s="1"/>
  <c r="G62" i="7"/>
  <c r="G85" i="7" s="1"/>
  <c r="S61" i="7"/>
  <c r="R61" i="7"/>
  <c r="R84" i="7" s="1"/>
  <c r="Q61" i="7"/>
  <c r="Q84" i="7" s="1"/>
  <c r="P61" i="7"/>
  <c r="P84" i="7" s="1"/>
  <c r="O61" i="7"/>
  <c r="O84" i="7" s="1"/>
  <c r="N61" i="7"/>
  <c r="N84" i="7" s="1"/>
  <c r="M61" i="7"/>
  <c r="M84" i="7" s="1"/>
  <c r="L61" i="7"/>
  <c r="L84" i="7" s="1"/>
  <c r="K61" i="7"/>
  <c r="K84" i="7" s="1"/>
  <c r="J61" i="7"/>
  <c r="J84" i="7" s="1"/>
  <c r="I61" i="7"/>
  <c r="I84" i="7" s="1"/>
  <c r="H61" i="7"/>
  <c r="H84" i="7" s="1"/>
  <c r="G61" i="7"/>
  <c r="G84" i="7" s="1"/>
  <c r="S60" i="7"/>
  <c r="S83" i="7" s="1"/>
  <c r="E148" i="7" s="1"/>
  <c r="E197" i="7" s="1"/>
  <c r="R60" i="7"/>
  <c r="R83" i="7" s="1"/>
  <c r="Q60" i="7"/>
  <c r="Q83" i="7" s="1"/>
  <c r="P60" i="7"/>
  <c r="P83" i="7" s="1"/>
  <c r="O60" i="7"/>
  <c r="O83" i="7" s="1"/>
  <c r="N60" i="7"/>
  <c r="N83" i="7" s="1"/>
  <c r="M60" i="7"/>
  <c r="M83" i="7" s="1"/>
  <c r="L60" i="7"/>
  <c r="L83" i="7" s="1"/>
  <c r="K60" i="7"/>
  <c r="K83" i="7" s="1"/>
  <c r="J60" i="7"/>
  <c r="J83" i="7" s="1"/>
  <c r="I60" i="7"/>
  <c r="I83" i="7" s="1"/>
  <c r="H60" i="7"/>
  <c r="H83" i="7" s="1"/>
  <c r="G60" i="7"/>
  <c r="G83" i="7" s="1"/>
  <c r="S59" i="7"/>
  <c r="R59" i="7"/>
  <c r="R82" i="7" s="1"/>
  <c r="Q59" i="7"/>
  <c r="Q82" i="7" s="1"/>
  <c r="P59" i="7"/>
  <c r="P82" i="7" s="1"/>
  <c r="O59" i="7"/>
  <c r="O82" i="7" s="1"/>
  <c r="N59" i="7"/>
  <c r="N82" i="7" s="1"/>
  <c r="M59" i="7"/>
  <c r="M82" i="7" s="1"/>
  <c r="L59" i="7"/>
  <c r="L82" i="7" s="1"/>
  <c r="K59" i="7"/>
  <c r="K82" i="7" s="1"/>
  <c r="J59" i="7"/>
  <c r="J82" i="7" s="1"/>
  <c r="I59" i="7"/>
  <c r="I82" i="7" s="1"/>
  <c r="H59" i="7"/>
  <c r="H82" i="7" s="1"/>
  <c r="G59" i="7"/>
  <c r="G82" i="7" s="1"/>
  <c r="S58" i="7"/>
  <c r="R58" i="7"/>
  <c r="R81" i="7" s="1"/>
  <c r="Q58" i="7"/>
  <c r="Q81" i="7" s="1"/>
  <c r="P58" i="7"/>
  <c r="P81" i="7" s="1"/>
  <c r="O58" i="7"/>
  <c r="O81" i="7" s="1"/>
  <c r="N58" i="7"/>
  <c r="N81" i="7" s="1"/>
  <c r="M58" i="7"/>
  <c r="M81" i="7" s="1"/>
  <c r="L58" i="7"/>
  <c r="L81" i="7" s="1"/>
  <c r="K58" i="7"/>
  <c r="K81" i="7" s="1"/>
  <c r="J58" i="7"/>
  <c r="J81" i="7" s="1"/>
  <c r="I58" i="7"/>
  <c r="I81" i="7" s="1"/>
  <c r="H58" i="7"/>
  <c r="H81" i="7" s="1"/>
  <c r="G58" i="7"/>
  <c r="G81" i="7" s="1"/>
  <c r="S57" i="7"/>
  <c r="R57" i="7"/>
  <c r="R80" i="7" s="1"/>
  <c r="Q57" i="7"/>
  <c r="Q80" i="7" s="1"/>
  <c r="P57" i="7"/>
  <c r="P80" i="7" s="1"/>
  <c r="O57" i="7"/>
  <c r="O80" i="7" s="1"/>
  <c r="N57" i="7"/>
  <c r="N80" i="7" s="1"/>
  <c r="M57" i="7"/>
  <c r="M80" i="7" s="1"/>
  <c r="L57" i="7"/>
  <c r="L80" i="7" s="1"/>
  <c r="K57" i="7"/>
  <c r="K80" i="7" s="1"/>
  <c r="J57" i="7"/>
  <c r="J80" i="7" s="1"/>
  <c r="I57" i="7"/>
  <c r="I80" i="7" s="1"/>
  <c r="H57" i="7"/>
  <c r="H80" i="7" s="1"/>
  <c r="G57" i="7"/>
  <c r="G80" i="7" s="1"/>
  <c r="S56" i="7"/>
  <c r="R56" i="7"/>
  <c r="R79" i="7" s="1"/>
  <c r="Q56" i="7"/>
  <c r="Q79" i="7" s="1"/>
  <c r="P56" i="7"/>
  <c r="P79" i="7" s="1"/>
  <c r="O56" i="7"/>
  <c r="O79" i="7" s="1"/>
  <c r="N56" i="7"/>
  <c r="N79" i="7" s="1"/>
  <c r="M56" i="7"/>
  <c r="M79" i="7" s="1"/>
  <c r="L56" i="7"/>
  <c r="L79" i="7" s="1"/>
  <c r="K56" i="7"/>
  <c r="K79" i="7" s="1"/>
  <c r="J56" i="7"/>
  <c r="J79" i="7" s="1"/>
  <c r="I56" i="7"/>
  <c r="I79" i="7" s="1"/>
  <c r="H56" i="7"/>
  <c r="H79" i="7" s="1"/>
  <c r="G56" i="7"/>
  <c r="G79" i="7" s="1"/>
  <c r="S55" i="7"/>
  <c r="R55" i="7"/>
  <c r="R78" i="7" s="1"/>
  <c r="Q55" i="7"/>
  <c r="Q78" i="7" s="1"/>
  <c r="P55" i="7"/>
  <c r="P78" i="7" s="1"/>
  <c r="O55" i="7"/>
  <c r="O78" i="7" s="1"/>
  <c r="N55" i="7"/>
  <c r="N78" i="7" s="1"/>
  <c r="M55" i="7"/>
  <c r="M78" i="7" s="1"/>
  <c r="L55" i="7"/>
  <c r="L78" i="7" s="1"/>
  <c r="K55" i="7"/>
  <c r="K78" i="7" s="1"/>
  <c r="J55" i="7"/>
  <c r="J78" i="7" s="1"/>
  <c r="I55" i="7"/>
  <c r="I78" i="7" s="1"/>
  <c r="H55" i="7"/>
  <c r="H78" i="7" s="1"/>
  <c r="G55" i="7"/>
  <c r="G78" i="7" s="1"/>
  <c r="S54" i="7"/>
  <c r="R54" i="7"/>
  <c r="R77" i="7" s="1"/>
  <c r="Q54" i="7"/>
  <c r="Q77" i="7" s="1"/>
  <c r="P54" i="7"/>
  <c r="P77" i="7" s="1"/>
  <c r="O54" i="7"/>
  <c r="O77" i="7" s="1"/>
  <c r="N54" i="7"/>
  <c r="N77" i="7" s="1"/>
  <c r="M54" i="7"/>
  <c r="M77" i="7" s="1"/>
  <c r="L54" i="7"/>
  <c r="L77" i="7" s="1"/>
  <c r="K54" i="7"/>
  <c r="K77" i="7" s="1"/>
  <c r="J54" i="7"/>
  <c r="J77" i="7" s="1"/>
  <c r="I54" i="7"/>
  <c r="I77" i="7" s="1"/>
  <c r="H54" i="7"/>
  <c r="H77" i="7" s="1"/>
  <c r="G54" i="7"/>
  <c r="G77" i="7" s="1"/>
  <c r="S53" i="7"/>
  <c r="R53" i="7"/>
  <c r="R76" i="7" s="1"/>
  <c r="Q53" i="7"/>
  <c r="Q76" i="7" s="1"/>
  <c r="P53" i="7"/>
  <c r="P76" i="7" s="1"/>
  <c r="O53" i="7"/>
  <c r="O76" i="7" s="1"/>
  <c r="N53" i="7"/>
  <c r="N76" i="7" s="1"/>
  <c r="M53" i="7"/>
  <c r="M76" i="7" s="1"/>
  <c r="L53" i="7"/>
  <c r="L76" i="7" s="1"/>
  <c r="K53" i="7"/>
  <c r="K76" i="7" s="1"/>
  <c r="J53" i="7"/>
  <c r="J76" i="7" s="1"/>
  <c r="I53" i="7"/>
  <c r="I76" i="7" s="1"/>
  <c r="H53" i="7"/>
  <c r="H76" i="7" s="1"/>
  <c r="G53" i="7"/>
  <c r="G76" i="7" s="1"/>
  <c r="S52" i="7"/>
  <c r="R52" i="7"/>
  <c r="R75" i="7" s="1"/>
  <c r="Q52" i="7"/>
  <c r="Q75" i="7" s="1"/>
  <c r="P52" i="7"/>
  <c r="P75" i="7" s="1"/>
  <c r="O52" i="7"/>
  <c r="O75" i="7" s="1"/>
  <c r="N52" i="7"/>
  <c r="N75" i="7" s="1"/>
  <c r="M52" i="7"/>
  <c r="M75" i="7" s="1"/>
  <c r="L52" i="7"/>
  <c r="L75" i="7" s="1"/>
  <c r="K52" i="7"/>
  <c r="K75" i="7" s="1"/>
  <c r="J52" i="7"/>
  <c r="J75" i="7" s="1"/>
  <c r="I52" i="7"/>
  <c r="I75" i="7" s="1"/>
  <c r="H52" i="7"/>
  <c r="H75" i="7" s="1"/>
  <c r="G52" i="7"/>
  <c r="G75" i="7" s="1"/>
  <c r="S51" i="7"/>
  <c r="R51" i="7"/>
  <c r="R74" i="7" s="1"/>
  <c r="Q51" i="7"/>
  <c r="Q74" i="7" s="1"/>
  <c r="P51" i="7"/>
  <c r="P74" i="7" s="1"/>
  <c r="O51" i="7"/>
  <c r="O74" i="7" s="1"/>
  <c r="N51" i="7"/>
  <c r="N74" i="7" s="1"/>
  <c r="M51" i="7"/>
  <c r="M74" i="7" s="1"/>
  <c r="L51" i="7"/>
  <c r="L74" i="7" s="1"/>
  <c r="K51" i="7"/>
  <c r="K74" i="7" s="1"/>
  <c r="J51" i="7"/>
  <c r="J74" i="7" s="1"/>
  <c r="I51" i="7"/>
  <c r="I74" i="7" s="1"/>
  <c r="H51" i="7"/>
  <c r="H74" i="7" s="1"/>
  <c r="G51" i="7"/>
  <c r="G74" i="7" s="1"/>
  <c r="S50" i="7"/>
  <c r="R50" i="7"/>
  <c r="R73" i="7" s="1"/>
  <c r="Q50" i="7"/>
  <c r="Q73" i="7" s="1"/>
  <c r="P50" i="7"/>
  <c r="P73" i="7" s="1"/>
  <c r="O50" i="7"/>
  <c r="O73" i="7" s="1"/>
  <c r="N50" i="7"/>
  <c r="N73" i="7" s="1"/>
  <c r="M50" i="7"/>
  <c r="M73" i="7" s="1"/>
  <c r="L50" i="7"/>
  <c r="L73" i="7" s="1"/>
  <c r="K50" i="7"/>
  <c r="K73" i="7" s="1"/>
  <c r="J50" i="7"/>
  <c r="J73" i="7" s="1"/>
  <c r="I50" i="7"/>
  <c r="I73" i="7" s="1"/>
  <c r="H50" i="7"/>
  <c r="H73" i="7" s="1"/>
  <c r="G50" i="7"/>
  <c r="G73" i="7" s="1"/>
  <c r="S49" i="7"/>
  <c r="R49" i="7"/>
  <c r="R72" i="7" s="1"/>
  <c r="Q49" i="7"/>
  <c r="Q72" i="7" s="1"/>
  <c r="P49" i="7"/>
  <c r="P72" i="7" s="1"/>
  <c r="O49" i="7"/>
  <c r="O72" i="7" s="1"/>
  <c r="N49" i="7"/>
  <c r="N72" i="7" s="1"/>
  <c r="M49" i="7"/>
  <c r="M72" i="7" s="1"/>
  <c r="L49" i="7"/>
  <c r="L72" i="7" s="1"/>
  <c r="K49" i="7"/>
  <c r="K72" i="7" s="1"/>
  <c r="J49" i="7"/>
  <c r="J72" i="7" s="1"/>
  <c r="I49" i="7"/>
  <c r="I72" i="7" s="1"/>
  <c r="H49" i="7"/>
  <c r="H72" i="7" s="1"/>
  <c r="G49" i="7"/>
  <c r="G72" i="7" s="1"/>
  <c r="V45" i="7"/>
  <c r="V44" i="7"/>
  <c r="V43" i="7"/>
  <c r="V42" i="7"/>
  <c r="V41" i="7"/>
  <c r="V40" i="7"/>
  <c r="V39" i="7"/>
  <c r="V38" i="7"/>
  <c r="V37" i="7"/>
  <c r="V36" i="7"/>
  <c r="V35" i="7"/>
  <c r="V34" i="7"/>
  <c r="V33" i="7"/>
  <c r="V32" i="7"/>
  <c r="V31" i="7"/>
  <c r="V30" i="7"/>
  <c r="V29" i="7"/>
  <c r="V28" i="7"/>
  <c r="V27" i="7"/>
  <c r="V21" i="7"/>
  <c r="C155" i="7" s="1"/>
  <c r="C204" i="7" s="1"/>
  <c r="V20" i="7"/>
  <c r="C154" i="7" s="1"/>
  <c r="C203" i="7" s="1"/>
  <c r="V19" i="7"/>
  <c r="C153" i="7" s="1"/>
  <c r="C202" i="7" s="1"/>
  <c r="V18" i="7"/>
  <c r="C152" i="7" s="1"/>
  <c r="C201" i="7" s="1"/>
  <c r="V17" i="7"/>
  <c r="C151" i="7" s="1"/>
  <c r="C200" i="7" s="1"/>
  <c r="C230" i="6" s="1"/>
  <c r="C233" i="6" s="1"/>
  <c r="V16" i="7"/>
  <c r="C150" i="7" s="1"/>
  <c r="C199" i="7" s="1"/>
  <c r="C231" i="6" s="1"/>
  <c r="V15" i="7"/>
  <c r="C149" i="7" s="1"/>
  <c r="C198" i="7" s="1"/>
  <c r="V14" i="7"/>
  <c r="C148" i="7" s="1"/>
  <c r="C197" i="7" s="1"/>
  <c r="A140" i="6" s="1" a="1"/>
  <c r="V13" i="7"/>
  <c r="C147" i="7" s="1"/>
  <c r="C196" i="7" s="1"/>
  <c r="V12" i="7"/>
  <c r="C146" i="7" s="1"/>
  <c r="C195" i="7" s="1"/>
  <c r="V11" i="7"/>
  <c r="C145" i="7" s="1"/>
  <c r="C194" i="7" s="1"/>
  <c r="V10" i="7"/>
  <c r="C144" i="7" s="1"/>
  <c r="C193" i="7" s="1"/>
  <c r="V9" i="7"/>
  <c r="C143" i="7" s="1"/>
  <c r="C192" i="7" s="1"/>
  <c r="V8" i="7"/>
  <c r="C142" i="7" s="1"/>
  <c r="C191" i="7" s="1"/>
  <c r="V7" i="7"/>
  <c r="C141" i="7" s="1"/>
  <c r="C190" i="7" s="1"/>
  <c r="V6" i="7"/>
  <c r="C140" i="7" s="1"/>
  <c r="C189" i="7" s="1"/>
  <c r="V5" i="7"/>
  <c r="C139" i="7" s="1"/>
  <c r="C188" i="7" s="1"/>
  <c r="V4" i="7"/>
  <c r="C138" i="7" s="1"/>
  <c r="C187" i="7" s="1"/>
  <c r="V3" i="7"/>
  <c r="C137" i="7" s="1"/>
  <c r="C186" i="7" s="1"/>
  <c r="U45" i="7"/>
  <c r="U44" i="7"/>
  <c r="U43" i="7"/>
  <c r="U42" i="7"/>
  <c r="U41" i="7"/>
  <c r="U40" i="7"/>
  <c r="U39" i="7"/>
  <c r="U38" i="7"/>
  <c r="U37" i="7"/>
  <c r="U36" i="7"/>
  <c r="U35" i="7"/>
  <c r="U34" i="7"/>
  <c r="U33" i="7"/>
  <c r="U32" i="7"/>
  <c r="U31" i="7"/>
  <c r="U30" i="7"/>
  <c r="U29" i="7"/>
  <c r="U28" i="7"/>
  <c r="U27" i="7"/>
  <c r="U21" i="7"/>
  <c r="U20" i="7"/>
  <c r="U19" i="7"/>
  <c r="U18" i="7"/>
  <c r="U17" i="7"/>
  <c r="U16" i="7"/>
  <c r="U15" i="7"/>
  <c r="U14" i="7"/>
  <c r="U13" i="7"/>
  <c r="U12" i="7"/>
  <c r="U11" i="7"/>
  <c r="U10" i="7"/>
  <c r="U9" i="7"/>
  <c r="U8" i="7"/>
  <c r="U7" i="7"/>
  <c r="U6" i="7"/>
  <c r="U5" i="7"/>
  <c r="U4" i="7"/>
  <c r="U3" i="7"/>
  <c r="E21" i="7"/>
  <c r="E20" i="7"/>
  <c r="E19" i="7"/>
  <c r="E18" i="7"/>
  <c r="E17" i="7"/>
  <c r="E16" i="7"/>
  <c r="E15" i="7"/>
  <c r="E14" i="7"/>
  <c r="E13" i="7"/>
  <c r="E12" i="7"/>
  <c r="E11" i="7"/>
  <c r="E10" i="7"/>
  <c r="E9" i="7"/>
  <c r="E8" i="7"/>
  <c r="E7" i="7"/>
  <c r="E6" i="7"/>
  <c r="E5" i="7"/>
  <c r="E4" i="7"/>
  <c r="E3" i="7"/>
  <c r="B56" i="8" l="1"/>
  <c r="B58" i="8" s="1"/>
  <c r="B60" i="8" s="1"/>
  <c r="H295" i="9"/>
  <c r="I295" i="9"/>
  <c r="I279" i="9"/>
  <c r="H279" i="9"/>
  <c r="H308" i="9"/>
  <c r="I308" i="9"/>
  <c r="H283" i="9"/>
  <c r="I283" i="9"/>
  <c r="H278" i="9"/>
  <c r="I278" i="9"/>
  <c r="H277" i="9"/>
  <c r="I277" i="9"/>
  <c r="H289" i="9"/>
  <c r="I289" i="9"/>
  <c r="H305" i="9"/>
  <c r="I305" i="9"/>
  <c r="I310" i="9"/>
  <c r="H310" i="9"/>
  <c r="H301" i="9"/>
  <c r="I301" i="9"/>
  <c r="I281" i="9"/>
  <c r="H281" i="9"/>
  <c r="H299" i="9"/>
  <c r="I299" i="9"/>
  <c r="H286" i="9"/>
  <c r="I286" i="9"/>
  <c r="H312" i="9"/>
  <c r="I312" i="9"/>
  <c r="H311" i="9"/>
  <c r="I311" i="9"/>
  <c r="H303" i="9"/>
  <c r="I303" i="9"/>
  <c r="H284" i="9"/>
  <c r="I284" i="9"/>
  <c r="H316" i="9"/>
  <c r="I316" i="9"/>
  <c r="H282" i="9"/>
  <c r="I282" i="9"/>
  <c r="I307" i="9"/>
  <c r="H307" i="9"/>
  <c r="H306" i="9"/>
  <c r="I306" i="9"/>
  <c r="I287" i="9"/>
  <c r="H287" i="9"/>
  <c r="H272" i="9"/>
  <c r="I272" i="9"/>
  <c r="I321" i="9"/>
  <c r="H321" i="9"/>
  <c r="H318" i="9"/>
  <c r="I318" i="9"/>
  <c r="I285" i="9"/>
  <c r="H285" i="9"/>
  <c r="H302" i="9"/>
  <c r="I302" i="9"/>
  <c r="H273" i="9"/>
  <c r="I273" i="9"/>
  <c r="H300" i="9"/>
  <c r="I300" i="9"/>
  <c r="H275" i="9"/>
  <c r="I275" i="9"/>
  <c r="H288" i="9"/>
  <c r="I288" i="9"/>
  <c r="H319" i="9"/>
  <c r="I319" i="9"/>
  <c r="H309" i="9"/>
  <c r="I309" i="9"/>
  <c r="H315" i="9"/>
  <c r="I315" i="9"/>
  <c r="A140" i="6"/>
  <c r="C146" i="6"/>
  <c r="D217" i="6"/>
  <c r="D182" i="6"/>
  <c r="D205" i="6"/>
  <c r="D170" i="6"/>
  <c r="D188" i="6"/>
  <c r="D223" i="6"/>
  <c r="D214" i="6"/>
  <c r="D179" i="6"/>
  <c r="D186" i="6"/>
  <c r="D221" i="6"/>
  <c r="D229" i="6"/>
  <c r="D194" i="6"/>
  <c r="D180" i="6"/>
  <c r="D215" i="6"/>
  <c r="D172" i="6"/>
  <c r="D207" i="6"/>
  <c r="D176" i="6"/>
  <c r="D211" i="6"/>
  <c r="D184" i="6"/>
  <c r="D219" i="6"/>
  <c r="E12" i="6"/>
  <c r="D192" i="6"/>
  <c r="D227" i="6"/>
  <c r="D181" i="6"/>
  <c r="D216" i="6"/>
  <c r="D225" i="6"/>
  <c r="D190" i="6"/>
  <c r="D187" i="6"/>
  <c r="D222" i="6"/>
  <c r="D212" i="6"/>
  <c r="D177" i="6"/>
  <c r="D213" i="6"/>
  <c r="D178" i="6"/>
  <c r="D220" i="6"/>
  <c r="D185" i="6"/>
  <c r="U23" i="7"/>
  <c r="D209" i="6"/>
  <c r="D174" i="6"/>
  <c r="D175" i="6"/>
  <c r="D210" i="6"/>
  <c r="V72" i="9"/>
  <c r="R107" i="9"/>
  <c r="W94" i="9"/>
  <c r="T119" i="9"/>
  <c r="E184" i="9" s="1"/>
  <c r="E288" i="9" s="1"/>
  <c r="V94" i="9"/>
  <c r="R119" i="9"/>
  <c r="V68" i="9"/>
  <c r="R104" i="9"/>
  <c r="W82" i="9"/>
  <c r="T112" i="9"/>
  <c r="E177" i="9" s="1"/>
  <c r="W68" i="9"/>
  <c r="T104" i="9"/>
  <c r="E169" i="9" s="1"/>
  <c r="W84" i="9"/>
  <c r="T113" i="9"/>
  <c r="E178" i="9" s="1"/>
  <c r="V92" i="9"/>
  <c r="R118" i="9"/>
  <c r="W78" i="9"/>
  <c r="T110" i="9"/>
  <c r="E175" i="9" s="1"/>
  <c r="V74" i="9"/>
  <c r="R108" i="9"/>
  <c r="V96" i="9"/>
  <c r="R120" i="9"/>
  <c r="V78" i="9"/>
  <c r="R110" i="9"/>
  <c r="V90" i="9"/>
  <c r="R117" i="9"/>
  <c r="V82" i="9"/>
  <c r="R112" i="9"/>
  <c r="W66" i="9"/>
  <c r="T103" i="9"/>
  <c r="E168" i="9" s="1"/>
  <c r="W86" i="9"/>
  <c r="T114" i="9"/>
  <c r="E179" i="9" s="1"/>
  <c r="W72" i="9"/>
  <c r="T107" i="9"/>
  <c r="E172" i="9" s="1"/>
  <c r="W92" i="9"/>
  <c r="T118" i="9"/>
  <c r="E183" i="9" s="1"/>
  <c r="V80" i="9"/>
  <c r="R111" i="9"/>
  <c r="V84" i="9"/>
  <c r="R113" i="9"/>
  <c r="W80" i="9"/>
  <c r="T111" i="9"/>
  <c r="E176" i="9" s="1"/>
  <c r="V76" i="9"/>
  <c r="R109" i="9"/>
  <c r="V86" i="9"/>
  <c r="R114" i="9"/>
  <c r="V66" i="9"/>
  <c r="R103" i="9"/>
  <c r="W74" i="9"/>
  <c r="T108" i="9"/>
  <c r="E173" i="9" s="1"/>
  <c r="W90" i="9"/>
  <c r="T117" i="9"/>
  <c r="E182" i="9" s="1"/>
  <c r="W76" i="9"/>
  <c r="T109" i="9"/>
  <c r="E174" i="9" s="1"/>
  <c r="W96" i="9"/>
  <c r="T120" i="9"/>
  <c r="E185" i="9" s="1"/>
  <c r="W64" i="9"/>
  <c r="V64" i="9"/>
  <c r="A35" i="6"/>
  <c r="C41" i="6"/>
  <c r="D41" i="6"/>
  <c r="V67" i="7"/>
  <c r="S90" i="7"/>
  <c r="E155" i="7" s="1"/>
  <c r="E204" i="7" s="1"/>
  <c r="V56" i="7"/>
  <c r="S79" i="7"/>
  <c r="E144" i="7" s="1"/>
  <c r="E193" i="7" s="1"/>
  <c r="V57" i="7"/>
  <c r="S80" i="7"/>
  <c r="E145" i="7" s="1"/>
  <c r="E194" i="7" s="1"/>
  <c r="V58" i="7"/>
  <c r="S81" i="7"/>
  <c r="E146" i="7" s="1"/>
  <c r="E195" i="7" s="1"/>
  <c r="V54" i="7"/>
  <c r="S77" i="7"/>
  <c r="E142" i="7" s="1"/>
  <c r="E191" i="7" s="1"/>
  <c r="V49" i="7"/>
  <c r="S72" i="7"/>
  <c r="V61" i="7"/>
  <c r="S84" i="7"/>
  <c r="E149" i="7" s="1"/>
  <c r="E198" i="7" s="1"/>
  <c r="V50" i="7"/>
  <c r="S73" i="7"/>
  <c r="E138" i="7" s="1"/>
  <c r="E187" i="7" s="1"/>
  <c r="V62" i="7"/>
  <c r="S85" i="7"/>
  <c r="E150" i="7" s="1"/>
  <c r="V66" i="7"/>
  <c r="S89" i="7"/>
  <c r="E154" i="7" s="1"/>
  <c r="E203" i="7" s="1"/>
  <c r="V63" i="7"/>
  <c r="S86" i="7"/>
  <c r="E151" i="7" s="1"/>
  <c r="E200" i="7" s="1"/>
  <c r="E230" i="6" s="1"/>
  <c r="V55" i="7"/>
  <c r="S78" i="7"/>
  <c r="E143" i="7" s="1"/>
  <c r="E192" i="7" s="1"/>
  <c r="V59" i="7"/>
  <c r="S82" i="7"/>
  <c r="E147" i="7" s="1"/>
  <c r="E196" i="7" s="1"/>
  <c r="V51" i="7"/>
  <c r="S74" i="7"/>
  <c r="E139" i="7" s="1"/>
  <c r="E188" i="7" s="1"/>
  <c r="V52" i="7"/>
  <c r="S75" i="7"/>
  <c r="E140" i="7" s="1"/>
  <c r="E189" i="7" s="1"/>
  <c r="V64" i="7"/>
  <c r="S87" i="7"/>
  <c r="E152" i="7" s="1"/>
  <c r="E201" i="7" s="1"/>
  <c r="V53" i="7"/>
  <c r="S76" i="7"/>
  <c r="E141" i="7" s="1"/>
  <c r="E190" i="7" s="1"/>
  <c r="V65" i="7"/>
  <c r="S88" i="7"/>
  <c r="E153" i="7" s="1"/>
  <c r="E202" i="7" s="1"/>
  <c r="U49" i="7"/>
  <c r="U52" i="7"/>
  <c r="U57" i="7"/>
  <c r="U54" i="7"/>
  <c r="U66" i="7"/>
  <c r="U55" i="7"/>
  <c r="U67" i="7"/>
  <c r="U56" i="7"/>
  <c r="U58" i="7"/>
  <c r="U59" i="7"/>
  <c r="U64" i="7"/>
  <c r="U53" i="7"/>
  <c r="U65" i="7"/>
  <c r="U61" i="7"/>
  <c r="U50" i="7"/>
  <c r="U60" i="7"/>
  <c r="U62" i="7"/>
  <c r="U51" i="7"/>
  <c r="U63" i="7"/>
  <c r="V60" i="7"/>
  <c r="B17" i="5"/>
  <c r="A78" i="8" l="1" a="1"/>
  <c r="A63" i="8" a="1"/>
  <c r="A63" i="8" s="1"/>
  <c r="E228" i="9"/>
  <c r="E283" i="9"/>
  <c r="E225" i="9"/>
  <c r="E280" i="9"/>
  <c r="E227" i="9"/>
  <c r="E282" i="9"/>
  <c r="B43" i="8"/>
  <c r="E232" i="9"/>
  <c r="E287" i="9"/>
  <c r="E218" i="9"/>
  <c r="E273" i="9"/>
  <c r="E223" i="9"/>
  <c r="E278" i="9"/>
  <c r="E217" i="9"/>
  <c r="E272" i="9"/>
  <c r="E226" i="9"/>
  <c r="E281" i="9"/>
  <c r="E224" i="9"/>
  <c r="E279" i="9"/>
  <c r="E231" i="9"/>
  <c r="E286" i="9"/>
  <c r="E222" i="9"/>
  <c r="E277" i="9"/>
  <c r="E221" i="9"/>
  <c r="E276" i="9"/>
  <c r="E234" i="9"/>
  <c r="B44" i="8"/>
  <c r="E16" i="6"/>
  <c r="C197" i="6"/>
  <c r="C147" i="6"/>
  <c r="C234" i="6"/>
  <c r="A47" i="6" a="1"/>
  <c r="E199" i="7"/>
  <c r="E167" i="9"/>
  <c r="E233" i="9"/>
  <c r="B28" i="6"/>
  <c r="E137" i="7"/>
  <c r="E186" i="7" s="1"/>
  <c r="B26" i="6"/>
  <c r="D42" i="6"/>
  <c r="C42" i="6"/>
  <c r="F14" i="6"/>
  <c r="F13" i="6"/>
  <c r="F12" i="6"/>
  <c r="A78" i="8" l="1"/>
  <c r="B88" i="8"/>
  <c r="B109" i="8" s="1"/>
  <c r="E216" i="9"/>
  <c r="E271" i="9"/>
  <c r="B129" i="6"/>
  <c r="B130" i="6"/>
  <c r="A47" i="6"/>
  <c r="B85" i="6"/>
  <c r="D106" i="6" s="1"/>
  <c r="C80" i="6"/>
  <c r="C81" i="6" s="1"/>
  <c r="E231" i="6"/>
  <c r="B236" i="6" s="1"/>
  <c r="A152" i="6" a="1"/>
  <c r="A152" i="6" s="1"/>
  <c r="B108" i="8" l="1"/>
  <c r="B115" i="8"/>
  <c r="B105" i="6"/>
  <c r="D105" i="6"/>
  <c r="C106" i="6"/>
  <c r="C105" i="6"/>
  <c r="B119" i="6"/>
  <c r="C120" i="6"/>
  <c r="D120" i="6"/>
  <c r="B120" i="6"/>
  <c r="D119" i="6"/>
  <c r="C258" i="6"/>
  <c r="B258" i="6"/>
  <c r="D257" i="6"/>
  <c r="C257" i="6"/>
  <c r="B257" i="6"/>
  <c r="D258" i="6"/>
  <c r="C119" i="6"/>
  <c r="B106" i="6"/>
  <c r="C252" i="6"/>
  <c r="D251" i="6"/>
  <c r="C251" i="6"/>
  <c r="D252" i="6"/>
  <c r="B252" i="6"/>
  <c r="B251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tc={552F8C6E-3215-46E3-97A3-7E4DEF10601E}</author>
    <author>tc={0FE9E52A-4197-494E-AF03-0091A2EF0C25}</author>
    <author>tc={3E464578-0C36-4FFE-B0EC-07ECFA893D2C}</author>
  </authors>
  <commentList>
    <comment ref="A55" authorId="0" shapeId="0" xr:uid="{552F8C6E-3215-46E3-97A3-7E4DEF10601E}">
      <text>
        <t>[Threaded comment]
Your version of Excel allows you to read this threaded comment; however, any edits to it will get removed if the file is opened in a newer version of Excel. Learn more: https://go.microsoft.com/fwlink/?linkid=870924
Comment:
    Installed capacity of all power plants connected to the system</t>
      </text>
    </comment>
    <comment ref="A56" authorId="1" shapeId="0" xr:uid="{0FE9E52A-4197-494E-AF03-0091A2EF0C25}">
      <text>
        <t>[Threaded comment]
Your version of Excel allows you to read this threaded comment; however, any edits to it will get removed if the file is opened in a newer version of Excel. Learn more: https://go.microsoft.com/fwlink/?linkid=870924
Comment:
    Plants installed in the reference period</t>
      </text>
    </comment>
    <comment ref="B58" authorId="2" shapeId="0" xr:uid="{3E464578-0C36-4FFE-B0EC-07ECFA893D2C}">
      <text>
        <t>[Threaded comment]
Your version of Excel allows you to read this threaded comment; however, any edits to it will get removed if the file is opened in a newer version of Excel. Learn more: https://go.microsoft.com/fwlink/?linkid=870924
Comment:
    Check if Perefperiod is 5% of total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<sst xmlns="http://schemas.openxmlformats.org/spreadsheetml/2006/main" count="1531" uniqueCount="296">
  <si>
    <t xml:space="preserve"> Emission Factors</t>
  </si>
  <si>
    <t>Conversion factors and assumptions</t>
  </si>
  <si>
    <t>Global Warming Potential</t>
  </si>
  <si>
    <r>
      <t>Global Warming Potential of CH</t>
    </r>
    <r>
      <rPr>
        <vertAlign val="subscript"/>
        <sz val="10"/>
        <color rgb="FF000000"/>
        <rFont val="Garamond"/>
        <family val="1"/>
      </rPr>
      <t>4</t>
    </r>
  </si>
  <si>
    <t>kgCO2e/kgCH4</t>
  </si>
  <si>
    <r>
      <t>Global Warming Potential of N</t>
    </r>
    <r>
      <rPr>
        <vertAlign val="subscript"/>
        <sz val="10"/>
        <color rgb="FF000000"/>
        <rFont val="Garamond"/>
        <family val="1"/>
      </rPr>
      <t>2</t>
    </r>
    <r>
      <rPr>
        <sz val="10"/>
        <color rgb="FF000000"/>
        <rFont val="Garamond"/>
        <family val="1"/>
      </rPr>
      <t>O</t>
    </r>
  </si>
  <si>
    <r>
      <t>kgCO2e/kgN</t>
    </r>
    <r>
      <rPr>
        <vertAlign val="subscript"/>
        <sz val="10"/>
        <color theme="1"/>
        <rFont val="Garamond"/>
        <family val="1"/>
      </rPr>
      <t>2</t>
    </r>
    <r>
      <rPr>
        <sz val="10"/>
        <color theme="1"/>
        <rFont val="Garamond"/>
        <family val="1"/>
      </rPr>
      <t>O</t>
    </r>
  </si>
  <si>
    <t>Net Calorific Values</t>
  </si>
  <si>
    <t>MJ/litre</t>
  </si>
  <si>
    <t>SA Methodological Guidelines Annexure D</t>
  </si>
  <si>
    <t>Densities</t>
  </si>
  <si>
    <t>Density of Diesel</t>
  </si>
  <si>
    <t>kg/litre</t>
  </si>
  <si>
    <t>Density of Bituminous</t>
  </si>
  <si>
    <t>tonne/m3</t>
  </si>
  <si>
    <t>https://www.aqua-calc.com/page/density-table/substance/coal-coma-and-blank-bituminous-blank-solid</t>
  </si>
  <si>
    <t>Density of Methane (CH4)</t>
  </si>
  <si>
    <t>kg/m3</t>
  </si>
  <si>
    <t>https://www.ghgsat.com/en/methane-emissions-calculator/#:~:text=The%20density%20of%20methane%20(gas,equation%20(PV%3DnRT).</t>
  </si>
  <si>
    <t>Density of Carbon Dioxide (CO2)</t>
  </si>
  <si>
    <t>https://physicsexperiments.eu/2258/when-carbon-dioxide-is-lighter-than-air-(temperature-impact-on-gas-density)#:~:text=At%20room%20temperature%2C%20carbon%20dioxide,significantly%20depends%20on%20its%20temperature.</t>
  </si>
  <si>
    <t>NB: Calculated according to Verra Tool VT0011 Emission Factors for Electricity Systems</t>
  </si>
  <si>
    <t>Step 1 Identify electricity system</t>
  </si>
  <si>
    <t>Step 2 Inclusion of offgrid power plants</t>
  </si>
  <si>
    <t>Offgrid power plants are excluded from this calculation</t>
  </si>
  <si>
    <t>Emission factors will be calculated for both the ex post and ex ante vintages to be used in accordance with the following rules from Verra</t>
  </si>
  <si>
    <t>Reinstallation date</t>
  </si>
  <si>
    <t>Year</t>
  </si>
  <si>
    <t>UOM</t>
  </si>
  <si>
    <t>2010/2011</t>
  </si>
  <si>
    <t>2011/2012</t>
  </si>
  <si>
    <t>2012/2013</t>
  </si>
  <si>
    <t>2013/2014</t>
  </si>
  <si>
    <t>2014/2015</t>
  </si>
  <si>
    <t>2015/2016</t>
  </si>
  <si>
    <t>2016/2017</t>
  </si>
  <si>
    <t>2017/2018</t>
  </si>
  <si>
    <t>2018/2019</t>
  </si>
  <si>
    <t>2019/2020</t>
  </si>
  <si>
    <t>2020/2021</t>
  </si>
  <si>
    <t>2021/2022</t>
  </si>
  <si>
    <t>2022/2023</t>
  </si>
  <si>
    <r>
      <rPr>
        <u/>
        <sz val="10"/>
        <rFont val="Garamond"/>
        <family val="1"/>
      </rPr>
      <t>Commissioning</t>
    </r>
    <r>
      <rPr>
        <sz val="10"/>
        <rFont val="Garamond"/>
        <family val="1"/>
      </rPr>
      <t xml:space="preserve"> </t>
    </r>
    <r>
      <rPr>
        <u/>
        <sz val="10"/>
        <rFont val="Garamond"/>
        <family val="1"/>
      </rPr>
      <t>date</t>
    </r>
  </si>
  <si>
    <t>Hendrina</t>
  </si>
  <si>
    <t>MWh/year</t>
  </si>
  <si>
    <t>Arnot</t>
  </si>
  <si>
    <t>Kriel</t>
  </si>
  <si>
    <t>Acacia</t>
  </si>
  <si>
    <t>Port Rex</t>
  </si>
  <si>
    <t>Matla</t>
  </si>
  <si>
    <t>Duvha</t>
  </si>
  <si>
    <t>Tutuka</t>
  </si>
  <si>
    <t>Lethabo</t>
  </si>
  <si>
    <t>Matimba</t>
  </si>
  <si>
    <t>Kendal</t>
  </si>
  <si>
    <t>Majuba</t>
  </si>
  <si>
    <t>Camden</t>
  </si>
  <si>
    <t>Ankerlig</t>
  </si>
  <si>
    <t>Gourikwa</t>
  </si>
  <si>
    <t>Grootvlei</t>
  </si>
  <si>
    <t>Komati</t>
  </si>
  <si>
    <t>Medupi</t>
  </si>
  <si>
    <t>Kusile</t>
  </si>
  <si>
    <t>Installed capacity</t>
  </si>
  <si>
    <t>Plant names</t>
  </si>
  <si>
    <t>Fuel</t>
  </si>
  <si>
    <t>Plant name</t>
  </si>
  <si>
    <t>Coal</t>
  </si>
  <si>
    <t>tonnes/year</t>
  </si>
  <si>
    <t>Gas - diesel (kerosene up to Dec 2021)</t>
  </si>
  <si>
    <t>litres/year</t>
  </si>
  <si>
    <t>Gas - diesel (kerosene up to Dec 2019)</t>
  </si>
  <si>
    <t>Gas - diesel</t>
  </si>
  <si>
    <r>
      <rPr>
        <u/>
        <sz val="10"/>
        <rFont val="Garamond"/>
        <family val="1"/>
      </rPr>
      <t>Installed</t>
    </r>
    <r>
      <rPr>
        <sz val="10"/>
        <rFont val="Garamond"/>
        <family val="1"/>
      </rPr>
      <t xml:space="preserve"> </t>
    </r>
    <r>
      <rPr>
        <u/>
        <sz val="10"/>
        <rFont val="Garamond"/>
        <family val="1"/>
      </rPr>
      <t>capacity</t>
    </r>
    <r>
      <rPr>
        <sz val="10"/>
        <rFont val="Garamond"/>
        <family val="1"/>
      </rPr>
      <t xml:space="preserve"> (MW)</t>
    </r>
  </si>
  <si>
    <t>Ex Ante</t>
  </si>
  <si>
    <t>Ex Post</t>
  </si>
  <si>
    <t>tCO2</t>
  </si>
  <si>
    <t>Fuel Emission Factors</t>
  </si>
  <si>
    <t>Diesel</t>
  </si>
  <si>
    <t>tCO2/TJ</t>
  </si>
  <si>
    <t>MJ/tonne</t>
  </si>
  <si>
    <t>tCO2/MWh</t>
  </si>
  <si>
    <t>Imports</t>
  </si>
  <si>
    <t>Imported electricity</t>
  </si>
  <si>
    <t>See Verra tool para 25</t>
  </si>
  <si>
    <t>Ex ante Simpified Operating Margin:</t>
  </si>
  <si>
    <t>Ex post Simpified Operating Margin:</t>
  </si>
  <si>
    <t>Applying Option 2 from the CDM tool as referenced in the VCS tool yields Eskom generation, IPP generation and imports from SAPP. Option 2 is applicable as there is a single dispatch centre, i.e. Eskom's System Operator controlling the dispatch of power on the national grid. As per Tool07, imports are considered as a single low-cost must run plant</t>
  </si>
  <si>
    <t>Eskom generation</t>
  </si>
  <si>
    <t>IPP</t>
  </si>
  <si>
    <t>Value</t>
  </si>
  <si>
    <t>Contribution</t>
  </si>
  <si>
    <t>Koeberg</t>
  </si>
  <si>
    <t>Values from IAR24</t>
  </si>
  <si>
    <t>Total generation availabe on the grid</t>
  </si>
  <si>
    <t>Low-cost must run share</t>
  </si>
  <si>
    <t>This is less than 50%, therefore the Simple OM can be used</t>
  </si>
  <si>
    <t>Renewables considered as low-cost must run</t>
  </si>
  <si>
    <t>Includes Koeberg. Nuclear is considered LCMR</t>
  </si>
  <si>
    <t>Generation</t>
  </si>
  <si>
    <t>Fuel Consumption</t>
  </si>
  <si>
    <t>Emissions</t>
  </si>
  <si>
    <t>Power Unit Emission Factor. Applying Option A1 from CDM Tool07</t>
  </si>
  <si>
    <t>Step 5 Calculated Build Margin</t>
  </si>
  <si>
    <t>Step 3 and 4 Calculate Operating Margin</t>
  </si>
  <si>
    <t>List of GHG Program projects</t>
  </si>
  <si>
    <t>Green Power for South Africa</t>
  </si>
  <si>
    <t>MWh</t>
  </si>
  <si>
    <t>CDM</t>
  </si>
  <si>
    <t>https://cdm.unfccc.int/ProgrammeOfActivities/poa_db/J4PUOQ8AZNIS9V6F5RBGWTKHMD103X/viewCPAs</t>
  </si>
  <si>
    <t>South African Grid Connected Wind Farm Programme</t>
  </si>
  <si>
    <t>TWE Golden Valley Wind Power Project</t>
  </si>
  <si>
    <t>https://cdm.unfccc.int/Projects/DB/DNV-CUK1355983455.45/view</t>
  </si>
  <si>
    <t>GS11949 Small-scale solar electrical programme, South Africa</t>
  </si>
  <si>
    <t>GS</t>
  </si>
  <si>
    <t>https://platform.sustain-cert.com/public-project/3196</t>
  </si>
  <si>
    <t>Solar Energy Programme for South Africa</t>
  </si>
  <si>
    <t>https://cdm.unfccc.int/ProgrammeOfActivities/poa_db/QZEV2SCNHXKF0AO41P35ML6RIGY9DU/viewCPAs</t>
  </si>
  <si>
    <t>https://www.power-technology.com/marketdata/twe-golden-valley-wind-power-project-south-africa/</t>
  </si>
  <si>
    <t>LONGYUAN MULILO DE AAR MAANHAARBERG WIND ENERGY FACILITY</t>
  </si>
  <si>
    <t>VCS</t>
  </si>
  <si>
    <t>https://registry.verra.org/app/projectDetail/VCS/1949</t>
  </si>
  <si>
    <t>LONGYUAN MULILO DE AAR 2 NORTH WIND ENERGY FACILITY</t>
  </si>
  <si>
    <t>https://registry.verra.org/app/projectDetail/VCS/1950</t>
  </si>
  <si>
    <t>Amakhala Emoyeni Grid Connected 138.6 MW Wind Farm, Phase 1, South Africa</t>
  </si>
  <si>
    <t>https://cdm.unfccc.int/Projects/DB/CarbonCheck_Cert1349249257.11/view</t>
  </si>
  <si>
    <t>South Africa Wind Energy</t>
  </si>
  <si>
    <t>https://cdm.unfccc.int/ProgrammeOfActivities/poa_db/8MAJSCEZTK02WX4IGYFVULONP5RD91/viewCPAs</t>
  </si>
  <si>
    <t>https://cookhousewind.co.za/wind-farm/fact-sheet/</t>
  </si>
  <si>
    <t>West Coast 1 Wind Farm in South Africa</t>
  </si>
  <si>
    <t>https://cdm.unfccc.int/Projects/DB/DNV-CUK1353928594.17/view</t>
  </si>
  <si>
    <t>Renewable Energy Carbon Programme for Africa (RECPA)</t>
  </si>
  <si>
    <t>https://cdm.unfccc.int/UserManagement/FileStorage/R7LZ0JBKCOSW65VA31T8U2XH4INMPF</t>
  </si>
  <si>
    <t>https://azarigroup.com/project/hopefield-wind-farm/</t>
  </si>
  <si>
    <t>Grid Connected Photovoltaic (PV) Renewable Electricity Generating Facilities PoA</t>
  </si>
  <si>
    <t>https://cdm.unfccc.int/ProgrammeOfActivities/poa_db/P079VQTWEGYRKFJOXM41LS6B25UHDA/viewCPAs</t>
  </si>
  <si>
    <t>South African Large Scale Grid Connected Solar Park Programme</t>
  </si>
  <si>
    <t>https://cdm.unfccc.int/ProgrammeOfActivities/poa_db/KSM056DU3QTPA9GE8LW4YBNRVHOCX7/viewCPAs</t>
  </si>
  <si>
    <t>Cookhouse Wind Farm in South Africa</t>
  </si>
  <si>
    <t>https://cdm.unfccc.int/Projects/DB/RWTUV1353325075.24/view</t>
  </si>
  <si>
    <t>https://www.gem.wiki/Dassieklip_wind_farm</t>
  </si>
  <si>
    <t>Kathu Grid Connected 100 MW Solar Park, South Africa</t>
  </si>
  <si>
    <t>https://cdm.unfccc.int/Projects/DB/CarbonCheck_Cert1348834222.69/view</t>
  </si>
  <si>
    <t>Red Cap Kouga Wind Farm</t>
  </si>
  <si>
    <t>https://cdm.unfccc.int/Projects/DB/CarbonCheck_Cert1349762664.2/view</t>
  </si>
  <si>
    <t>Karoo Renewable Energy Facility (Nobelsfontein Solar PV)</t>
  </si>
  <si>
    <t>https://cdm.unfccc.int/UserManagement/FileStorage/3EHGSJ0DQ9MC1BAFUOWNLVZP2I4KT5</t>
  </si>
  <si>
    <t>Karoo Renewable Energy Facility (Nobelsfontein Wind)</t>
  </si>
  <si>
    <t>https://cdm.unfccc.int/Projects/DB/JCI1352353988.03/view</t>
  </si>
  <si>
    <t>Dassieklip Wind Energy Facility in South Africa</t>
  </si>
  <si>
    <t>https://cdm.unfccc.int/Projects/DB/DNV-CUK1352375786.83/view</t>
  </si>
  <si>
    <t>South African Wind Power Projects</t>
  </si>
  <si>
    <t>https://cdm.unfccc.int/ProgrammeOfActivities/cpa_db/L9GMUFTY46XH3B2NQEA7KVD1ZJW5SI/view</t>
  </si>
  <si>
    <t>Prieska Grid Connected 20 MW Solar Park, South Africa</t>
  </si>
  <si>
    <t>https://cdm.unfccc.int/Projects/DB/CarbonCheck_Cert1348757215.13/view</t>
  </si>
  <si>
    <t>Bokpoort</t>
  </si>
  <si>
    <t>Hopefield wind energy facility in South Africa</t>
  </si>
  <si>
    <t>https://cdm.unfccc.int/Projects/DB/CarbonCheck_Cert1350891231.27/view</t>
  </si>
  <si>
    <t>Southern African Renewable Energy (SARE) Programme</t>
  </si>
  <si>
    <t>Wind and solar PoA in South Africa</t>
  </si>
  <si>
    <t>https://cdm.unfccc.int/ProgrammeOfActivities/poa_db/CR71H6JE3IFAYZWSD8TBNPK5GOXMQV/viewCPAs</t>
  </si>
  <si>
    <t>CPA</t>
  </si>
  <si>
    <t>Start date</t>
  </si>
  <si>
    <t>Coega IDZ Windfarm</t>
  </si>
  <si>
    <t>https://cdm.unfccc.int/Projects/DB/DNV-CUK1355985090.16/view</t>
  </si>
  <si>
    <t>CPA-011</t>
  </si>
  <si>
    <t>CPA-001</t>
  </si>
  <si>
    <t>CPA-010</t>
  </si>
  <si>
    <t>CPA-002</t>
  </si>
  <si>
    <t>CPA-009</t>
  </si>
  <si>
    <t>CPA-008</t>
  </si>
  <si>
    <t>CPA-007</t>
  </si>
  <si>
    <t>CPA-006</t>
  </si>
  <si>
    <t>CPA-005</t>
  </si>
  <si>
    <t>CPA-004</t>
  </si>
  <si>
    <t>CPA-003</t>
  </si>
  <si>
    <t>Name</t>
  </si>
  <si>
    <t>Annual Generation</t>
  </si>
  <si>
    <t>Start Date</t>
  </si>
  <si>
    <t>Program</t>
  </si>
  <si>
    <t>Identify SET5units</t>
  </si>
  <si>
    <t>Power Unit</t>
  </si>
  <si>
    <t>Commissining date</t>
  </si>
  <si>
    <t>Date</t>
  </si>
  <si>
    <t>Rank</t>
  </si>
  <si>
    <t>Ex ante MWh</t>
  </si>
  <si>
    <t>Ex post MWh</t>
  </si>
  <si>
    <t>Total generation</t>
  </si>
  <si>
    <t>Identify SET&gt;=20 per cent</t>
  </si>
  <si>
    <t>Percent of total generation</t>
  </si>
  <si>
    <t>Commissioning date</t>
  </si>
  <si>
    <t>SET&gt;=20 per cent is selected as SETsample as it comprises the larger annual generation</t>
  </si>
  <si>
    <t>Build Margin</t>
  </si>
  <si>
    <t>Emission Factor</t>
  </si>
  <si>
    <t>Step 6 Calculate Combined Margin</t>
  </si>
  <si>
    <t>Weighted Average CM is applied using default values from Verra tool</t>
  </si>
  <si>
    <t>For projects that supply electricity to the grid or projects resulting in grid electricity savings</t>
  </si>
  <si>
    <t>1st Crediting Period</t>
  </si>
  <si>
    <t>OM</t>
  </si>
  <si>
    <t>BM</t>
  </si>
  <si>
    <t>Wind and solar</t>
  </si>
  <si>
    <t>All other projects</t>
  </si>
  <si>
    <t>2nd Crediting Period</t>
  </si>
  <si>
    <t>3rd Crediting Period</t>
  </si>
  <si>
    <r>
      <t>1.</t>
    </r>
    <r>
      <rPr>
        <sz val="9"/>
        <color theme="1"/>
        <rFont val="Times New Roman"/>
        <family val="1"/>
      </rPr>
      <t xml:space="preserve">           </t>
    </r>
    <r>
      <rPr>
        <sz val="9"/>
        <color theme="1"/>
        <rFont val="Garamond"/>
        <family val="1"/>
      </rPr>
      <t>The operation margin is determined using the Simple Operating Margin approach and applying Option A. Annual data is available and the low cost must run plants form less than 50% of the annual generation in the last 5 years. Therefore, the Simple OM is the appropriate approach to apply. Option A is applied as the necessary information to calculate the emission factor per power plant, namely the fuel type and consumption by plant along with the annual electricity generated by each unit.</t>
    </r>
  </si>
  <si>
    <t>Applying ex post OM:</t>
  </si>
  <si>
    <t>CM</t>
  </si>
  <si>
    <t>For projects that increase consumption of electricity from the grid</t>
  </si>
  <si>
    <t>Applying ex ante OM:</t>
  </si>
  <si>
    <t>units</t>
  </si>
  <si>
    <t>Calculation according to CDM Tool</t>
  </si>
  <si>
    <t>The operating margin is calculated the same way. However according to the CDM tool, either the ex ante or ex post method can be applied regardless of project type</t>
  </si>
  <si>
    <t>Ex ante OM</t>
  </si>
  <si>
    <t>Ex post OM</t>
  </si>
  <si>
    <t>Build margin</t>
  </si>
  <si>
    <t>Operating Margin</t>
  </si>
  <si>
    <t>tCO2e/MWh</t>
  </si>
  <si>
    <t>Difference to Verra approach: Credit projects are excluded under the CDMs methodology</t>
  </si>
  <si>
    <t>SET5units</t>
  </si>
  <si>
    <t>Consolidated plant list - Verra</t>
  </si>
  <si>
    <t>Consolidated list - CDM</t>
  </si>
  <si>
    <t>Both sets are the same and therefore labelled as SETsample. 3/5 plants started supplying electricity more than 10 years ago, therefore apply step (d)</t>
  </si>
  <si>
    <t>Carbon Credit Projects</t>
  </si>
  <si>
    <t>Identify SETsample-CDM</t>
  </si>
  <si>
    <t>All carbon credit projects are included. The annual generation is less than 20% of the total, therefore apply step (e)</t>
  </si>
  <si>
    <t>Combined Margin</t>
  </si>
  <si>
    <t>Weightings</t>
  </si>
  <si>
    <t>Emission Factors</t>
  </si>
  <si>
    <t>2023/2024</t>
  </si>
  <si>
    <t>Fuel oil</t>
  </si>
  <si>
    <t>SA Methodological Guidelines Annexure H (AR3)</t>
  </si>
  <si>
    <t>AR5</t>
  </si>
  <si>
    <t>AR6</t>
  </si>
  <si>
    <t>PACM calculation</t>
  </si>
  <si>
    <t>Step 1 and 2 are applicable to calculation actual emissions and not applicable to the GEF calculation. These steps will be applicable to the PDD</t>
  </si>
  <si>
    <t>Step 3: Identify the relevant electricity system</t>
  </si>
  <si>
    <t>The electricity system covered by this calculation is the South African National Grid. The calculation can be applied to Scenario A</t>
  </si>
  <si>
    <t>Step 4: Determine whether high or lower value is conservative</t>
  </si>
  <si>
    <t>This calculation calculates both values. Use Case 1 for where higher emissions are conservative, i.e. PE and LE</t>
  </si>
  <si>
    <t>Uase Case 2 where lower emissions are conservative i.e. BE</t>
  </si>
  <si>
    <t>Step 5: Determine the amount of electricity generation and/or consumption</t>
  </si>
  <si>
    <t>This step applies in the PD and MR not to the GEF calculation</t>
  </si>
  <si>
    <t>Step 6: Determine which emission factor is applicable</t>
  </si>
  <si>
    <t>The emission factor for Scenario A in both Case 1 and Case 2 will be calculated</t>
  </si>
  <si>
    <t>Step 7: Calculate combined emission factor</t>
  </si>
  <si>
    <t>Operating margin calculation:</t>
  </si>
  <si>
    <t>The Simple OM is applied</t>
  </si>
  <si>
    <t>Must be less than 30% renewables and nuclear on the grid to apply Simple OM approach</t>
  </si>
  <si>
    <t>Ex ante option applies three year weighted average</t>
  </si>
  <si>
    <t>Ex post option prefered.</t>
  </si>
  <si>
    <t>Ex ante option requires each year to be adjusted in the MR calculations</t>
  </si>
  <si>
    <t>Ex ante</t>
  </si>
  <si>
    <t>Ex post</t>
  </si>
  <si>
    <t>Values calculated excluding must run power units (namely Koeberg, renewables and imports. Imports are predominantly hydro)</t>
  </si>
  <si>
    <t>Build margin calculation:</t>
  </si>
  <si>
    <r>
      <t xml:space="preserve">Year </t>
    </r>
    <r>
      <rPr>
        <i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 xml:space="preserve"> = 2026 (Year Article 6.4 project started operation)</t>
    </r>
  </si>
  <si>
    <r>
      <t xml:space="preserve">Year </t>
    </r>
    <r>
      <rPr>
        <i/>
        <sz val="11"/>
        <color theme="1"/>
        <rFont val="Calibri"/>
        <family val="2"/>
        <scheme val="minor"/>
      </rPr>
      <t>z</t>
    </r>
    <r>
      <rPr>
        <sz val="11"/>
        <color theme="1"/>
        <rFont val="Calibri"/>
        <family val="2"/>
        <scheme val="minor"/>
      </rPr>
      <t xml:space="preserve"> = 2024 (Year with most recent data on power plant installation data)</t>
    </r>
  </si>
  <si>
    <t>Historical reference period applied as z &lt; x+1 (2024 &lt; 2026 + 1)</t>
  </si>
  <si>
    <t>Reference period = 2024, 2023, 2022</t>
  </si>
  <si>
    <t>Installed Capacity</t>
  </si>
  <si>
    <t>Installed capacity (MW)</t>
  </si>
  <si>
    <t>Consolidated Plant List - PACM</t>
  </si>
  <si>
    <t>PEL,total</t>
  </si>
  <si>
    <t>MW</t>
  </si>
  <si>
    <t>PEL,refperiod</t>
  </si>
  <si>
    <t>Year of installation</t>
  </si>
  <si>
    <t>Threshold</t>
  </si>
  <si>
    <t>Check</t>
  </si>
  <si>
    <t>In reference period</t>
  </si>
  <si>
    <t>Year 1</t>
  </si>
  <si>
    <t>Year 2</t>
  </si>
  <si>
    <t>Year 3</t>
  </si>
  <si>
    <t>List of projects built in the reference period</t>
  </si>
  <si>
    <t>Count of projects built</t>
  </si>
  <si>
    <t>Final check</t>
  </si>
  <si>
    <t>Year 4</t>
  </si>
  <si>
    <t>Year 5</t>
  </si>
  <si>
    <t>Apply three year or five year period as per above check</t>
  </si>
  <si>
    <t>Check failed above therefore five year period applied</t>
  </si>
  <si>
    <t>Case 1</t>
  </si>
  <si>
    <t>Weights</t>
  </si>
  <si>
    <t>Case 2</t>
  </si>
  <si>
    <t>Intermittent generation and consumption</t>
  </si>
  <si>
    <t>Non intermittent generation and consumption</t>
  </si>
  <si>
    <t>Case 1 (Project emissions)</t>
  </si>
  <si>
    <t>Case 2 (Baseline Emissions)</t>
  </si>
  <si>
    <t>Renewables+Nuclear percentage</t>
  </si>
  <si>
    <t>Kusile Unit 1</t>
  </si>
  <si>
    <t>Kusile Unit 2</t>
  </si>
  <si>
    <t>Kusile Unit 3</t>
  </si>
  <si>
    <t>Kusile Unit 4</t>
  </si>
  <si>
    <t>Kusile Unit 5</t>
  </si>
  <si>
    <t>Kusile Unit 6</t>
  </si>
  <si>
    <t>Coal plant efficiency</t>
  </si>
  <si>
    <t>Default for supercritical coal power after 2021 from CDM Tool</t>
  </si>
  <si>
    <t>Adjustment factor for vintage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</si>
</sst>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_ * #,##0.00_ ;_ * \-#,##0.00_ ;_ * &quot;-&quot;??_ ;_ @_ "/>
    <numFmt numFmtId="165" formatCode="_ * #,##0.0000_ ;_ * \-#,##0.0000_ ;_ * &quot;-&quot;??_ ;_ @_ "/>
    <numFmt numFmtId="166" formatCode="_ * #,##0_ ;_ * \-#,##0_ ;_ * &quot;-&quot;??_ ;_ @_ "/>
    <numFmt numFmtId="167" formatCode="0.000"/>
    <numFmt numFmtId="168" formatCode="_ * #,##0_ ;_ * \-#,##0_ ;_ * &quot;-&quot;?????_ ;_ @_ "/>
    <numFmt numFmtId="169" formatCode="_ * #,##0.0_ ;_ * \-#,##0.0_ ;_ * &quot;-&quot;?????_ ;_ @_ "/>
    <numFmt numFmtId="170" formatCode="yyyy/mm/dd;@"/>
    <numFmt numFmtId="171" formatCode="_-* #,##0.0000_-;\-* #,##0.0000_-;_-* &quot;-&quot;??_-;_-@_-"/>
    <numFmt numFmtId="172" formatCode="0.000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Garamond"/>
      <family val="1"/>
    </font>
    <font>
      <u/>
      <sz val="11"/>
      <color theme="10"/>
      <name val="Garamond"/>
      <family val="1"/>
    </font>
    <font>
      <b/>
      <sz val="16"/>
      <color theme="1"/>
      <name val="Garamond"/>
      <family val="1"/>
    </font>
    <font>
      <sz val="10"/>
      <name val="Arial"/>
      <family val="2"/>
    </font>
    <font>
      <b/>
      <sz val="10"/>
      <color theme="1"/>
      <name val="Garamond"/>
      <family val="1"/>
    </font>
    <font>
      <sz val="10"/>
      <color rgb="FF000000"/>
      <name val="Garamond"/>
      <family val="1"/>
    </font>
    <font>
      <sz val="10"/>
      <color theme="1"/>
      <name val="Garamond"/>
      <family val="1"/>
    </font>
    <font>
      <vertAlign val="subscript"/>
      <sz val="10"/>
      <color theme="1"/>
      <name val="Garamond"/>
      <family val="1"/>
    </font>
    <font>
      <sz val="10"/>
      <name val="Garamond"/>
      <family val="1"/>
    </font>
    <font>
      <b/>
      <sz val="10"/>
      <color rgb="FF000000"/>
      <name val="Garamond"/>
      <family val="1"/>
    </font>
    <font>
      <vertAlign val="subscript"/>
      <sz val="10"/>
      <color rgb="FF000000"/>
      <name val="Garamond"/>
      <family val="1"/>
    </font>
    <font>
      <u/>
      <sz val="10"/>
      <name val="Garamond"/>
      <family val="1"/>
    </font>
    <font>
      <i/>
      <sz val="10"/>
      <color theme="1"/>
      <name val="Garamond"/>
      <family val="1"/>
    </font>
    <font>
      <u/>
      <sz val="11"/>
      <color theme="1"/>
      <name val="Calibri"/>
      <family val="2"/>
      <scheme val="minor"/>
    </font>
    <font>
      <b/>
      <u/>
      <sz val="10"/>
      <color theme="1"/>
      <name val="Garamond"/>
      <family val="1"/>
    </font>
    <font>
      <sz val="9"/>
      <color theme="1"/>
      <name val="Calibri"/>
      <family val="2"/>
      <scheme val="minor"/>
    </font>
    <font>
      <sz val="9"/>
      <color theme="1"/>
      <name val="Times New Roman"/>
      <family val="1"/>
    </font>
    <font>
      <sz val="9"/>
      <color theme="1"/>
      <name val="Garamond"/>
      <family val="1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DAEDF2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</cellStyleXfs>
  <cellXfs count="108">
    <xf numFmtId="0" fontId="0" fillId="0" borderId="0" xfId="0"/>
    <xf numFmtId="0" fontId="3" fillId="0" borderId="0" xfId="0" applyFont="1"/>
    <xf numFmtId="0" fontId="2" fillId="0" borderId="0" xfId="0" applyFont="1"/>
    <xf numFmtId="3" fontId="0" fillId="0" borderId="0" xfId="0" applyNumberFormat="1"/>
    <xf numFmtId="166" fontId="0" fillId="0" borderId="0" xfId="1" applyNumberFormat="1" applyFont="1"/>
    <xf numFmtId="166" fontId="0" fillId="0" borderId="0" xfId="0" applyNumberFormat="1"/>
    <xf numFmtId="9" fontId="0" fillId="0" borderId="0" xfId="2" applyFont="1"/>
    <xf numFmtId="10" fontId="0" fillId="0" borderId="0" xfId="0" applyNumberFormat="1"/>
    <xf numFmtId="2" fontId="0" fillId="0" borderId="0" xfId="0" applyNumberFormat="1"/>
    <xf numFmtId="0" fontId="7" fillId="0" borderId="0" xfId="0" applyFont="1"/>
    <xf numFmtId="0" fontId="9" fillId="3" borderId="0" xfId="0" applyFont="1" applyFill="1"/>
    <xf numFmtId="0" fontId="7" fillId="3" borderId="0" xfId="0" applyFont="1" applyFill="1"/>
    <xf numFmtId="49" fontId="12" fillId="0" borderId="2" xfId="0" applyNumberFormat="1" applyFont="1" applyBorder="1" applyAlignment="1">
      <alignment horizontal="left" vertical="center"/>
    </xf>
    <xf numFmtId="0" fontId="13" fillId="0" borderId="2" xfId="0" applyFont="1" applyBorder="1"/>
    <xf numFmtId="168" fontId="12" fillId="0" borderId="2" xfId="0" applyNumberFormat="1" applyFont="1" applyBorder="1" applyAlignment="1">
      <alignment horizontal="left" vertical="center"/>
    </xf>
    <xf numFmtId="0" fontId="13" fillId="0" borderId="2" xfId="0" applyFont="1" applyBorder="1" applyAlignment="1">
      <alignment vertical="center"/>
    </xf>
    <xf numFmtId="169" fontId="12" fillId="0" borderId="2" xfId="0" applyNumberFormat="1" applyFont="1" applyBorder="1" applyAlignment="1">
      <alignment horizontal="left" vertical="center"/>
    </xf>
    <xf numFmtId="49" fontId="12" fillId="0" borderId="2" xfId="0" applyNumberFormat="1" applyFont="1" applyBorder="1" applyAlignment="1">
      <alignment horizontal="left" vertical="center" wrapText="1"/>
    </xf>
    <xf numFmtId="169" fontId="13" fillId="0" borderId="2" xfId="0" applyNumberFormat="1" applyFont="1" applyBorder="1"/>
    <xf numFmtId="167" fontId="13" fillId="0" borderId="2" xfId="0" applyNumberFormat="1" applyFont="1" applyBorder="1"/>
    <xf numFmtId="43" fontId="12" fillId="0" borderId="2" xfId="4" applyFont="1" applyBorder="1" applyAlignment="1">
      <alignment horizontal="left" vertical="center"/>
    </xf>
    <xf numFmtId="0" fontId="7" fillId="3" borderId="2" xfId="0" applyFont="1" applyFill="1" applyBorder="1"/>
    <xf numFmtId="0" fontId="4" fillId="0" borderId="0" xfId="0" applyFont="1"/>
    <xf numFmtId="0" fontId="12" fillId="0" borderId="0" xfId="0" applyFont="1" applyAlignment="1">
      <alignment vertical="center"/>
    </xf>
    <xf numFmtId="0" fontId="15" fillId="7" borderId="0" xfId="0" applyFont="1" applyFill="1" applyAlignment="1">
      <alignment horizontal="left" vertical="top"/>
    </xf>
    <xf numFmtId="1" fontId="12" fillId="7" borderId="0" xfId="0" applyNumberFormat="1" applyFont="1" applyFill="1" applyAlignment="1">
      <alignment horizontal="left" vertical="top" shrinkToFit="1"/>
    </xf>
    <xf numFmtId="170" fontId="12" fillId="7" borderId="0" xfId="0" applyNumberFormat="1" applyFont="1" applyFill="1" applyAlignment="1">
      <alignment vertical="top" shrinkToFit="1"/>
    </xf>
    <xf numFmtId="170" fontId="12" fillId="7" borderId="0" xfId="0" applyNumberFormat="1" applyFont="1" applyFill="1" applyAlignment="1">
      <alignment horizontal="center" vertical="top" shrinkToFit="1"/>
    </xf>
    <xf numFmtId="1" fontId="12" fillId="7" borderId="0" xfId="0" applyNumberFormat="1" applyFont="1" applyFill="1" applyAlignment="1">
      <alignment horizontal="center" vertical="top" shrinkToFit="1"/>
    </xf>
    <xf numFmtId="0" fontId="15" fillId="7" borderId="0" xfId="0" applyFont="1" applyFill="1" applyAlignment="1">
      <alignment horizontal="right" vertical="top"/>
    </xf>
    <xf numFmtId="3" fontId="15" fillId="7" borderId="0" xfId="0" applyNumberFormat="1" applyFont="1" applyFill="1" applyAlignment="1">
      <alignment horizontal="right" vertical="top"/>
    </xf>
    <xf numFmtId="3" fontId="15" fillId="7" borderId="0" xfId="0" applyNumberFormat="1" applyFont="1" applyFill="1" applyAlignment="1">
      <alignment horizontal="center" vertical="top"/>
    </xf>
    <xf numFmtId="1" fontId="12" fillId="7" borderId="0" xfId="0" applyNumberFormat="1" applyFont="1" applyFill="1" applyAlignment="1">
      <alignment horizontal="right" vertical="top" shrinkToFit="1"/>
    </xf>
    <xf numFmtId="0" fontId="13" fillId="7" borderId="0" xfId="0" applyFont="1" applyFill="1" applyAlignment="1">
      <alignment horizontal="left"/>
    </xf>
    <xf numFmtId="0" fontId="13" fillId="0" borderId="0" xfId="0" applyFont="1"/>
    <xf numFmtId="0" fontId="13" fillId="0" borderId="0" xfId="0" applyFont="1" applyAlignment="1">
      <alignment horizontal="left" vertical="top" wrapText="1"/>
    </xf>
    <xf numFmtId="0" fontId="13" fillId="0" borderId="0" xfId="0" applyFont="1" applyAlignment="1">
      <alignment vertical="center" wrapText="1"/>
    </xf>
    <xf numFmtId="0" fontId="18" fillId="0" borderId="0" xfId="0" applyFont="1" applyAlignment="1">
      <alignment vertical="top" wrapText="1"/>
    </xf>
    <xf numFmtId="0" fontId="13" fillId="0" borderId="0" xfId="0" applyFont="1" applyAlignment="1">
      <alignment vertical="top" wrapText="1"/>
    </xf>
    <xf numFmtId="0" fontId="15" fillId="7" borderId="0" xfId="0" applyFont="1" applyFill="1" applyAlignment="1">
      <alignment vertical="top" wrapText="1"/>
    </xf>
    <xf numFmtId="1" fontId="12" fillId="7" borderId="0" xfId="0" applyNumberFormat="1" applyFont="1" applyFill="1" applyAlignment="1">
      <alignment vertical="top" shrinkToFit="1"/>
    </xf>
    <xf numFmtId="0" fontId="15" fillId="7" borderId="0" xfId="0" applyFont="1" applyFill="1" applyAlignment="1">
      <alignment horizontal="left" vertical="top" wrapText="1" indent="1"/>
    </xf>
    <xf numFmtId="0" fontId="15" fillId="7" borderId="0" xfId="0" applyFont="1" applyFill="1" applyAlignment="1">
      <alignment horizontal="left" vertical="top" wrapText="1"/>
    </xf>
    <xf numFmtId="3" fontId="15" fillId="7" borderId="0" xfId="0" applyNumberFormat="1" applyFont="1" applyFill="1" applyAlignment="1">
      <alignment horizontal="right" vertical="top" wrapText="1"/>
    </xf>
    <xf numFmtId="3" fontId="15" fillId="7" borderId="0" xfId="0" applyNumberFormat="1" applyFont="1" applyFill="1" applyAlignment="1">
      <alignment horizontal="center" vertical="top" wrapText="1"/>
    </xf>
    <xf numFmtId="3" fontId="15" fillId="7" borderId="0" xfId="0" applyNumberFormat="1" applyFont="1" applyFill="1" applyAlignment="1">
      <alignment horizontal="right" vertical="top" wrapText="1" indent="1"/>
    </xf>
    <xf numFmtId="0" fontId="13" fillId="7" borderId="0" xfId="0" applyFont="1" applyFill="1" applyAlignment="1">
      <alignment horizontal="left" wrapText="1"/>
    </xf>
    <xf numFmtId="3" fontId="13" fillId="0" borderId="0" xfId="0" applyNumberFormat="1" applyFont="1"/>
    <xf numFmtId="0" fontId="0" fillId="0" borderId="3" xfId="0" applyBorder="1"/>
    <xf numFmtId="0" fontId="0" fillId="0" borderId="4" xfId="0" applyBorder="1"/>
    <xf numFmtId="0" fontId="19" fillId="0" borderId="0" xfId="0" applyFont="1"/>
    <xf numFmtId="0" fontId="20" fillId="0" borderId="0" xfId="0" applyFont="1"/>
    <xf numFmtId="164" fontId="0" fillId="0" borderId="0" xfId="1" applyFont="1"/>
    <xf numFmtId="0" fontId="21" fillId="0" borderId="0" xfId="0" applyFont="1"/>
    <xf numFmtId="4" fontId="15" fillId="7" borderId="0" xfId="0" applyNumberFormat="1" applyFont="1" applyFill="1" applyAlignment="1">
      <alignment horizontal="right" vertical="top" wrapText="1"/>
    </xf>
    <xf numFmtId="14" fontId="0" fillId="0" borderId="0" xfId="0" applyNumberFormat="1"/>
    <xf numFmtId="0" fontId="6" fillId="0" borderId="0" xfId="3" applyAlignment="1" applyProtection="1"/>
    <xf numFmtId="10" fontId="0" fillId="0" borderId="0" xfId="2" applyNumberFormat="1" applyFont="1"/>
    <xf numFmtId="166" fontId="7" fillId="0" borderId="0" xfId="1" applyNumberFormat="1" applyFont="1"/>
    <xf numFmtId="14" fontId="7" fillId="0" borderId="0" xfId="0" applyNumberFormat="1" applyFont="1"/>
    <xf numFmtId="170" fontId="13" fillId="0" borderId="0" xfId="0" applyNumberFormat="1" applyFont="1"/>
    <xf numFmtId="14" fontId="13" fillId="0" borderId="0" xfId="0" applyNumberFormat="1" applyFont="1"/>
    <xf numFmtId="166" fontId="13" fillId="0" borderId="0" xfId="0" applyNumberFormat="1" applyFont="1"/>
    <xf numFmtId="4" fontId="13" fillId="0" borderId="0" xfId="0" applyNumberFormat="1" applyFont="1"/>
    <xf numFmtId="164" fontId="0" fillId="0" borderId="1" xfId="1" applyFont="1" applyBorder="1"/>
    <xf numFmtId="0" fontId="0" fillId="0" borderId="2" xfId="0" applyBorder="1"/>
    <xf numFmtId="171" fontId="0" fillId="0" borderId="2" xfId="0" applyNumberFormat="1" applyBorder="1"/>
    <xf numFmtId="172" fontId="0" fillId="0" borderId="1" xfId="0" applyNumberFormat="1" applyBorder="1"/>
    <xf numFmtId="172" fontId="0" fillId="0" borderId="0" xfId="0" applyNumberFormat="1"/>
    <xf numFmtId="165" fontId="0" fillId="0" borderId="0" xfId="1" applyNumberFormat="1" applyFont="1"/>
    <xf numFmtId="0" fontId="13" fillId="0" borderId="4" xfId="0" applyFont="1" applyBorder="1" applyAlignment="1">
      <alignment horizontal="left" vertical="center"/>
    </xf>
    <xf numFmtId="168" fontId="12" fillId="0" borderId="1" xfId="0" applyNumberFormat="1" applyFont="1" applyBorder="1" applyAlignment="1">
      <alignment horizontal="left" vertical="center"/>
    </xf>
    <xf numFmtId="0" fontId="13" fillId="0" borderId="1" xfId="0" applyFont="1" applyBorder="1" applyAlignment="1">
      <alignment horizontal="left" vertical="center"/>
    </xf>
    <xf numFmtId="1" fontId="13" fillId="0" borderId="0" xfId="0" applyNumberFormat="1" applyFont="1"/>
    <xf numFmtId="0" fontId="7" fillId="2" borderId="0" xfId="0" applyFont="1" applyFill="1"/>
    <xf numFmtId="164" fontId="13" fillId="0" borderId="0" xfId="1" applyFont="1"/>
    <xf numFmtId="166" fontId="13" fillId="0" borderId="0" xfId="1" applyNumberFormat="1" applyFont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5" xfId="0" applyBorder="1"/>
    <xf numFmtId="0" fontId="0" fillId="0" borderId="10" xfId="0" applyBorder="1"/>
    <xf numFmtId="4" fontId="0" fillId="0" borderId="0" xfId="0" applyNumberFormat="1"/>
    <xf numFmtId="43" fontId="0" fillId="0" borderId="0" xfId="0" applyNumberFormat="1"/>
    <xf numFmtId="9" fontId="7" fillId="3" borderId="0" xfId="0" applyNumberFormat="1" applyFont="1" applyFill="1"/>
    <xf numFmtId="0" fontId="13" fillId="0" borderId="3" xfId="0" applyFont="1" applyBorder="1" applyAlignment="1">
      <alignment horizontal="left" vertical="center"/>
    </xf>
    <xf numFmtId="0" fontId="13" fillId="0" borderId="4" xfId="0" applyFont="1" applyBorder="1" applyAlignment="1">
      <alignment horizontal="left" vertical="center"/>
    </xf>
    <xf numFmtId="0" fontId="9" fillId="3" borderId="0" xfId="0" applyFont="1" applyFill="1" applyAlignment="1">
      <alignment horizontal="left" vertical="center"/>
    </xf>
    <xf numFmtId="0" fontId="9" fillId="3" borderId="5" xfId="0" applyFont="1" applyFill="1" applyBorder="1" applyAlignment="1">
      <alignment horizontal="left" vertical="center"/>
    </xf>
    <xf numFmtId="49" fontId="16" fillId="4" borderId="3" xfId="0" applyNumberFormat="1" applyFont="1" applyFill="1" applyBorder="1" applyAlignment="1">
      <alignment horizontal="left" vertical="center"/>
    </xf>
    <xf numFmtId="49" fontId="16" fillId="4" borderId="1" xfId="0" applyNumberFormat="1" applyFont="1" applyFill="1" applyBorder="1" applyAlignment="1">
      <alignment horizontal="left" vertical="center"/>
    </xf>
    <xf numFmtId="49" fontId="16" fillId="4" borderId="4" xfId="0" applyNumberFormat="1" applyFont="1" applyFill="1" applyBorder="1" applyAlignment="1">
      <alignment horizontal="left" vertical="center"/>
    </xf>
    <xf numFmtId="0" fontId="8" fillId="0" borderId="3" xfId="3" applyFont="1" applyBorder="1" applyAlignment="1">
      <alignment horizontal="left" vertical="center" wrapText="1"/>
    </xf>
    <xf numFmtId="0" fontId="13" fillId="0" borderId="4" xfId="0" applyFont="1" applyBorder="1" applyAlignment="1">
      <alignment horizontal="left" vertical="center" wrapText="1"/>
    </xf>
    <xf numFmtId="0" fontId="6" fillId="3" borderId="2" xfId="3" applyFill="1" applyBorder="1" applyAlignment="1">
      <alignment horizontal="left"/>
    </xf>
    <xf numFmtId="0" fontId="7" fillId="3" borderId="2" xfId="0" applyFont="1" applyFill="1" applyBorder="1" applyAlignment="1">
      <alignment horizontal="left"/>
    </xf>
    <xf numFmtId="49" fontId="16" fillId="5" borderId="3" xfId="0" applyNumberFormat="1" applyFont="1" applyFill="1" applyBorder="1" applyAlignment="1">
      <alignment horizontal="left" vertical="center"/>
    </xf>
    <xf numFmtId="49" fontId="16" fillId="5" borderId="1" xfId="0" applyNumberFormat="1" applyFont="1" applyFill="1" applyBorder="1" applyAlignment="1">
      <alignment horizontal="left" vertical="center"/>
    </xf>
    <xf numFmtId="49" fontId="16" fillId="5" borderId="4" xfId="0" applyNumberFormat="1" applyFont="1" applyFill="1" applyBorder="1" applyAlignment="1">
      <alignment horizontal="left" vertical="center"/>
    </xf>
    <xf numFmtId="0" fontId="11" fillId="6" borderId="3" xfId="5" applyFont="1" applyFill="1" applyBorder="1" applyAlignment="1">
      <alignment horizontal="left" vertical="center"/>
    </xf>
    <xf numFmtId="0" fontId="11" fillId="6" borderId="1" xfId="5" applyFont="1" applyFill="1" applyBorder="1" applyAlignment="1">
      <alignment horizontal="left" vertical="center"/>
    </xf>
    <xf numFmtId="0" fontId="11" fillId="6" borderId="4" xfId="5" applyFont="1" applyFill="1" applyBorder="1" applyAlignment="1">
      <alignment horizontal="left" vertical="center"/>
    </xf>
    <xf numFmtId="0" fontId="0" fillId="0" borderId="2" xfId="0" applyBorder="1" applyAlignment="1">
      <alignment horizontal="center"/>
    </xf>
    <xf numFmtId="0" fontId="22" fillId="0" borderId="0" xfId="0" applyFont="1" applyAlignment="1">
      <alignment horizontal="center" vertical="top" wrapText="1"/>
    </xf>
    <xf numFmtId="0" fontId="0" fillId="0" borderId="0" xfId="0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</cellXfs>
  <cellStyles count="6">
    <cellStyle name="Comma" xfId="1" builtinId="3"/>
    <cellStyle name="Comma 2" xfId="4" xr:uid="{EAA72024-A5AF-47FF-BF55-0EF2A809F9FA}"/>
    <cellStyle name="Hyperlink" xfId="3" builtinId="8"/>
    <cellStyle name="Normal" xfId="0" builtinId="0"/>
    <cellStyle name="Normal 2" xfId="5" xr:uid="{8374A086-7B20-48CE-9C7C-DC69C4DBD609}"/>
    <cellStyle name="Percent" xfId="2" builtinId="5"/>
  </cellStyles>
  <dxfs count="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1.png"/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7620</xdr:colOff>
      <xdr:row>12</xdr:row>
      <xdr:rowOff>175260</xdr:rowOff>
    </xdr:from>
    <xdr:to>
      <xdr:col>13</xdr:col>
      <xdr:colOff>209500</xdr:colOff>
      <xdr:row>15</xdr:row>
      <xdr:rowOff>56737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157F5FC-3680-4EAF-AB38-17C18DCB53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60080" y="5036820"/>
          <a:ext cx="4587190" cy="426307"/>
        </a:xfrm>
        <a:prstGeom prst="rect">
          <a:avLst/>
        </a:prstGeom>
      </xdr:spPr>
    </xdr:pic>
    <xdr:clientData/>
  </xdr:twoCellAnchor>
  <xdr:twoCellAnchor editAs="oneCell">
    <xdr:from>
      <xdr:col>9</xdr:col>
      <xdr:colOff>95250</xdr:colOff>
      <xdr:row>55</xdr:row>
      <xdr:rowOff>64770</xdr:rowOff>
    </xdr:from>
    <xdr:to>
      <xdr:col>17</xdr:col>
      <xdr:colOff>478621</xdr:colOff>
      <xdr:row>66</xdr:row>
      <xdr:rowOff>133527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EF13EFC4-3596-AE5F-7E73-B056CC14CD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25000" y="56833770"/>
          <a:ext cx="5380186" cy="2055672"/>
        </a:xfrm>
        <a:prstGeom prst="rect">
          <a:avLst/>
        </a:prstGeom>
      </xdr:spPr>
    </xdr:pic>
    <xdr:clientData/>
  </xdr:twoCellAnchor>
  <xdr:twoCellAnchor editAs="oneCell">
    <xdr:from>
      <xdr:col>3</xdr:col>
      <xdr:colOff>411480</xdr:colOff>
      <xdr:row>56</xdr:row>
      <xdr:rowOff>7620</xdr:rowOff>
    </xdr:from>
    <xdr:to>
      <xdr:col>11</xdr:col>
      <xdr:colOff>97648</xdr:colOff>
      <xdr:row>58</xdr:row>
      <xdr:rowOff>171494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99410027-C942-8E3F-924A-D1B5103CEE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173980" y="56957595"/>
          <a:ext cx="5692633" cy="51248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519954</xdr:colOff>
      <xdr:row>97</xdr:row>
      <xdr:rowOff>107577</xdr:rowOff>
    </xdr:from>
    <xdr:to>
      <xdr:col>9</xdr:col>
      <xdr:colOff>167641</xdr:colOff>
      <xdr:row>99</xdr:row>
      <xdr:rowOff>136108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1096B4C-00D7-4938-BC89-4919EE1C45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93319" y="13916922"/>
          <a:ext cx="3379582" cy="37333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268941</xdr:colOff>
      <xdr:row>14</xdr:row>
      <xdr:rowOff>170330</xdr:rowOff>
    </xdr:from>
    <xdr:to>
      <xdr:col>6</xdr:col>
      <xdr:colOff>491826</xdr:colOff>
      <xdr:row>22</xdr:row>
      <xdr:rowOff>170330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FBF5C07-F4D3-110D-8A02-982EA76AF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8941" y="3281083"/>
          <a:ext cx="7322820" cy="144197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25</xdr:row>
      <xdr:rowOff>0</xdr:rowOff>
    </xdr:from>
    <xdr:to>
      <xdr:col>10</xdr:col>
      <xdr:colOff>571450</xdr:colOff>
      <xdr:row>27</xdr:row>
      <xdr:rowOff>60547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FBCBB15-230C-337F-B6B9-B21B202C02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837459" y="5289176"/>
          <a:ext cx="4587638" cy="41151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90</xdr:row>
      <xdr:rowOff>0</xdr:rowOff>
    </xdr:from>
    <xdr:to>
      <xdr:col>3</xdr:col>
      <xdr:colOff>171835</xdr:colOff>
      <xdr:row>91</xdr:row>
      <xdr:rowOff>156015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99906F4-5EA8-DE4D-D6A6-35F45BFA14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16943294"/>
          <a:ext cx="4442845" cy="33530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519954</xdr:colOff>
      <xdr:row>67</xdr:row>
      <xdr:rowOff>107577</xdr:rowOff>
    </xdr:from>
    <xdr:to>
      <xdr:col>9</xdr:col>
      <xdr:colOff>152401</xdr:colOff>
      <xdr:row>69</xdr:row>
      <xdr:rowOff>132298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60E1A76-7A44-0A0D-1DFC-3F2DD182BA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123766" y="13832542"/>
          <a:ext cx="3379694" cy="37681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Kenneth Slabbert" id="{E991F201-EE0C-49EC-BDD9-6A3BDB0DAF61}" userId="S::kenneth@promethium.co.za::cebb2768-91de-465f-8774-b836868037c7" providerId="AD"/>
</personList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55" dT="2026-02-11T13:38:41.88" personId="{E991F201-EE0C-49EC-BDD9-6A3BDB0DAF61}" id="{552F8C6E-3215-46E3-97A3-7E4DEF10601E}">
    <text>Installed capacity of all power plants connected to the system</text>
  </threadedComment>
  <threadedComment ref="A56" dT="2026-02-11T13:39:25.68" personId="{E991F201-EE0C-49EC-BDD9-6A3BDB0DAF61}" id="{0FE9E52A-4197-494E-AF03-0091A2EF0C25}">
    <text>Plants installed in the reference period</text>
  </threadedComment>
  <threadedComment ref="B58" dT="2026-02-11T13:46:02.31" personId="{E991F201-EE0C-49EC-BDD9-6A3BDB0DAF61}" id="{3E464578-0C36-4FFE-B0EC-07ECFA893D2C}">
    <text>Check if Perefperiod is 5% of total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hgsat.com/en/methane-emissions-calculator/" TargetMode="External"/><Relationship Id="rId2" Type="http://schemas.openxmlformats.org/officeDocument/2006/relationships/hyperlink" Target="https://physicsexperiments.eu/2258/when-carbon-dioxide-is-lighter-than-air-(temperature-impact-on-gas-density)" TargetMode="External"/><Relationship Id="rId1" Type="http://schemas.openxmlformats.org/officeDocument/2006/relationships/hyperlink" Target="https://www.aqua-calc.com/page/density-table/substance/coal-coma-and-blank-bituminous-blank-solid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cdm.unfccc.int/Projects/DB/DNV-CUK1353928594.17/view" TargetMode="External"/><Relationship Id="rId13" Type="http://schemas.openxmlformats.org/officeDocument/2006/relationships/hyperlink" Target="https://azarigroup.com/project/hopefield-wind-farm/" TargetMode="External"/><Relationship Id="rId18" Type="http://schemas.openxmlformats.org/officeDocument/2006/relationships/hyperlink" Target="https://cdm.unfccc.int/Projects/DB/DNV-CUK1355985090.16/view" TargetMode="External"/><Relationship Id="rId26" Type="http://schemas.openxmlformats.org/officeDocument/2006/relationships/hyperlink" Target="https://cdm.unfccc.int/ProgrammeOfActivities/poa_db/J4PUOQ8AZNIS9V6F5RBGWTKHMD103X/viewCPAs" TargetMode="External"/><Relationship Id="rId3" Type="http://schemas.openxmlformats.org/officeDocument/2006/relationships/hyperlink" Target="https://cdm.unfccc.int/Projects/DB/CarbonCheck_Cert1349249257.11/view" TargetMode="External"/><Relationship Id="rId21" Type="http://schemas.openxmlformats.org/officeDocument/2006/relationships/hyperlink" Target="https://cdm.unfccc.int/ProgrammeOfActivities/poa_db/KSM056DU3QTPA9GE8LW4YBNRVHOCX7/viewCPAs" TargetMode="External"/><Relationship Id="rId7" Type="http://schemas.openxmlformats.org/officeDocument/2006/relationships/hyperlink" Target="https://cdm.unfccc.int/UserManagement/FileStorage/3EHGSJ0DQ9MC1BAFUOWNLVZP2I4KT5" TargetMode="External"/><Relationship Id="rId12" Type="http://schemas.openxmlformats.org/officeDocument/2006/relationships/hyperlink" Target="https://cdm.unfccc.int/Projects/DB/CarbonCheck_Cert1350891231.27/view" TargetMode="External"/><Relationship Id="rId17" Type="http://schemas.openxmlformats.org/officeDocument/2006/relationships/hyperlink" Target="https://cdm.unfccc.int/Projects/DB/DNV-CUK1352375786.83/view" TargetMode="External"/><Relationship Id="rId25" Type="http://schemas.openxmlformats.org/officeDocument/2006/relationships/hyperlink" Target="https://cdm.unfccc.int/ProgrammeOfActivities/cpa_db/L9GMUFTY46XH3B2NQEA7KVD1ZJW5SI/view" TargetMode="External"/><Relationship Id="rId2" Type="http://schemas.openxmlformats.org/officeDocument/2006/relationships/hyperlink" Target="https://registry.verra.org/app/projectDetail/VCS/1950" TargetMode="External"/><Relationship Id="rId16" Type="http://schemas.openxmlformats.org/officeDocument/2006/relationships/hyperlink" Target="https://cdm.unfccc.int/Projects/DB/CarbonCheck_Cert1348757215.13/view" TargetMode="External"/><Relationship Id="rId20" Type="http://schemas.openxmlformats.org/officeDocument/2006/relationships/hyperlink" Target="https://cdm.unfccc.int/UserManagement/FileStorage/R7LZ0JBKCOSW65VA31T8U2XH4INMPF" TargetMode="External"/><Relationship Id="rId1" Type="http://schemas.openxmlformats.org/officeDocument/2006/relationships/hyperlink" Target="https://registry.verra.org/app/projectDetail/VCS/1949" TargetMode="External"/><Relationship Id="rId6" Type="http://schemas.openxmlformats.org/officeDocument/2006/relationships/hyperlink" Target="https://cdm.unfccc.int/Projects/DB/JCI1352353988.03/view" TargetMode="External"/><Relationship Id="rId11" Type="http://schemas.openxmlformats.org/officeDocument/2006/relationships/hyperlink" Target="https://cdm.unfccc.int/Projects/DB/CarbonCheck_Cert1349762664.2/view" TargetMode="External"/><Relationship Id="rId24" Type="http://schemas.openxmlformats.org/officeDocument/2006/relationships/hyperlink" Target="https://cdm.unfccc.int/ProgrammeOfActivities/poa_db/P079VQTWEGYRKFJOXM41LS6B25UHDA/viewCPAs" TargetMode="External"/><Relationship Id="rId5" Type="http://schemas.openxmlformats.org/officeDocument/2006/relationships/hyperlink" Target="https://www.power-technology.com/marketdata/twe-golden-valley-wind-power-project-south-africa/" TargetMode="External"/><Relationship Id="rId15" Type="http://schemas.openxmlformats.org/officeDocument/2006/relationships/hyperlink" Target="https://cdm.unfccc.int/Projects/DB/CarbonCheck_Cert1348834222.69/view" TargetMode="External"/><Relationship Id="rId23" Type="http://schemas.openxmlformats.org/officeDocument/2006/relationships/hyperlink" Target="https://cdm.unfccc.int/ProgrammeOfActivities/poa_db/QZEV2SCNHXKF0AO41P35ML6RIGY9DU/viewCPAs" TargetMode="External"/><Relationship Id="rId28" Type="http://schemas.openxmlformats.org/officeDocument/2006/relationships/drawing" Target="../drawings/drawing2.xml"/><Relationship Id="rId10" Type="http://schemas.openxmlformats.org/officeDocument/2006/relationships/hyperlink" Target="https://cdm.unfccc.int/Projects/DB/RWTUV1353325075.24/view" TargetMode="External"/><Relationship Id="rId19" Type="http://schemas.openxmlformats.org/officeDocument/2006/relationships/hyperlink" Target="https://www.gem.wiki/Dassieklip_wind_farm" TargetMode="External"/><Relationship Id="rId4" Type="http://schemas.openxmlformats.org/officeDocument/2006/relationships/hyperlink" Target="https://cdm.unfccc.int/Projects/DB/DNV-CUK1355983455.45/view" TargetMode="External"/><Relationship Id="rId9" Type="http://schemas.openxmlformats.org/officeDocument/2006/relationships/hyperlink" Target="https://cookhousewind.co.za/wind-farm/fact-sheet/" TargetMode="External"/><Relationship Id="rId14" Type="http://schemas.openxmlformats.org/officeDocument/2006/relationships/hyperlink" Target="https://platform.sustain-cert.com/public-project/3196" TargetMode="External"/><Relationship Id="rId22" Type="http://schemas.openxmlformats.org/officeDocument/2006/relationships/hyperlink" Target="https://cdm.unfccc.int/ProgrammeOfActivities/poa_db/CR71H6JE3IFAYZWSD8TBNPK5GOXMQV/viewCPAs" TargetMode="External"/><Relationship Id="rId27" Type="http://schemas.openxmlformats.org/officeDocument/2006/relationships/hyperlink" Target="https://cdm.unfccc.int/ProgrammeOfActivities/poa_db/8MAJSCEZTK02WX4IGYFVULONP5RD91/viewCPAs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s://cdm.unfccc.int/Projects/DB/DNV-CUK1353928594.17/view" TargetMode="External"/><Relationship Id="rId13" Type="http://schemas.openxmlformats.org/officeDocument/2006/relationships/hyperlink" Target="https://azarigroup.com/project/hopefield-wind-farm/" TargetMode="External"/><Relationship Id="rId18" Type="http://schemas.openxmlformats.org/officeDocument/2006/relationships/hyperlink" Target="https://cdm.unfccc.int/Projects/DB/DNV-CUK1355985090.16/view" TargetMode="External"/><Relationship Id="rId26" Type="http://schemas.openxmlformats.org/officeDocument/2006/relationships/hyperlink" Target="https://cdm.unfccc.int/ProgrammeOfActivities/poa_db/J4PUOQ8AZNIS9V6F5RBGWTKHMD103X/viewCPAs" TargetMode="External"/><Relationship Id="rId3" Type="http://schemas.openxmlformats.org/officeDocument/2006/relationships/hyperlink" Target="https://cdm.unfccc.int/Projects/DB/CarbonCheck_Cert1349249257.11/view" TargetMode="External"/><Relationship Id="rId21" Type="http://schemas.openxmlformats.org/officeDocument/2006/relationships/hyperlink" Target="https://cdm.unfccc.int/ProgrammeOfActivities/poa_db/KSM056DU3QTPA9GE8LW4YBNRVHOCX7/viewCPAs" TargetMode="External"/><Relationship Id="rId7" Type="http://schemas.openxmlformats.org/officeDocument/2006/relationships/hyperlink" Target="https://cdm.unfccc.int/UserManagement/FileStorage/3EHGSJ0DQ9MC1BAFUOWNLVZP2I4KT5" TargetMode="External"/><Relationship Id="rId12" Type="http://schemas.openxmlformats.org/officeDocument/2006/relationships/hyperlink" Target="https://cdm.unfccc.int/Projects/DB/CarbonCheck_Cert1350891231.27/view" TargetMode="External"/><Relationship Id="rId17" Type="http://schemas.openxmlformats.org/officeDocument/2006/relationships/hyperlink" Target="https://cdm.unfccc.int/Projects/DB/DNV-CUK1352375786.83/view" TargetMode="External"/><Relationship Id="rId25" Type="http://schemas.openxmlformats.org/officeDocument/2006/relationships/hyperlink" Target="https://cdm.unfccc.int/ProgrammeOfActivities/cpa_db/L9GMUFTY46XH3B2NQEA7KVD1ZJW5SI/view" TargetMode="External"/><Relationship Id="rId2" Type="http://schemas.openxmlformats.org/officeDocument/2006/relationships/hyperlink" Target="https://registry.verra.org/app/projectDetail/VCS/1950" TargetMode="External"/><Relationship Id="rId16" Type="http://schemas.openxmlformats.org/officeDocument/2006/relationships/hyperlink" Target="https://cdm.unfccc.int/Projects/DB/CarbonCheck_Cert1348757215.13/view" TargetMode="External"/><Relationship Id="rId20" Type="http://schemas.openxmlformats.org/officeDocument/2006/relationships/hyperlink" Target="https://cdm.unfccc.int/UserManagement/FileStorage/R7LZ0JBKCOSW65VA31T8U2XH4INMPF" TargetMode="External"/><Relationship Id="rId1" Type="http://schemas.openxmlformats.org/officeDocument/2006/relationships/hyperlink" Target="https://registry.verra.org/app/projectDetail/VCS/1949" TargetMode="External"/><Relationship Id="rId6" Type="http://schemas.openxmlformats.org/officeDocument/2006/relationships/hyperlink" Target="https://cdm.unfccc.int/Projects/DB/JCI1352353988.03/view" TargetMode="External"/><Relationship Id="rId11" Type="http://schemas.openxmlformats.org/officeDocument/2006/relationships/hyperlink" Target="https://cdm.unfccc.int/Projects/DB/CarbonCheck_Cert1349762664.2/view" TargetMode="External"/><Relationship Id="rId24" Type="http://schemas.openxmlformats.org/officeDocument/2006/relationships/hyperlink" Target="https://cdm.unfccc.int/ProgrammeOfActivities/poa_db/P079VQTWEGYRKFJOXM41LS6B25UHDA/viewCPAs" TargetMode="External"/><Relationship Id="rId5" Type="http://schemas.openxmlformats.org/officeDocument/2006/relationships/hyperlink" Target="https://www.power-technology.com/marketdata/twe-golden-valley-wind-power-project-south-africa/" TargetMode="External"/><Relationship Id="rId15" Type="http://schemas.openxmlformats.org/officeDocument/2006/relationships/hyperlink" Target="https://cdm.unfccc.int/Projects/DB/CarbonCheck_Cert1348834222.69/view" TargetMode="External"/><Relationship Id="rId23" Type="http://schemas.openxmlformats.org/officeDocument/2006/relationships/hyperlink" Target="https://cdm.unfccc.int/ProgrammeOfActivities/poa_db/QZEV2SCNHXKF0AO41P35ML6RIGY9DU/viewCPAs" TargetMode="External"/><Relationship Id="rId28" Type="http://schemas.openxmlformats.org/officeDocument/2006/relationships/drawing" Target="../drawings/drawing4.xml"/><Relationship Id="rId10" Type="http://schemas.openxmlformats.org/officeDocument/2006/relationships/hyperlink" Target="https://cdm.unfccc.int/Projects/DB/RWTUV1353325075.24/view" TargetMode="External"/><Relationship Id="rId19" Type="http://schemas.openxmlformats.org/officeDocument/2006/relationships/hyperlink" Target="https://www.gem.wiki/Dassieklip_wind_farm" TargetMode="External"/><Relationship Id="rId4" Type="http://schemas.openxmlformats.org/officeDocument/2006/relationships/hyperlink" Target="https://cdm.unfccc.int/Projects/DB/DNV-CUK1355983455.45/view" TargetMode="External"/><Relationship Id="rId9" Type="http://schemas.openxmlformats.org/officeDocument/2006/relationships/hyperlink" Target="https://cookhousewind.co.za/wind-farm/fact-sheet/" TargetMode="External"/><Relationship Id="rId14" Type="http://schemas.openxmlformats.org/officeDocument/2006/relationships/hyperlink" Target="https://platform.sustain-cert.com/public-project/3196" TargetMode="External"/><Relationship Id="rId22" Type="http://schemas.openxmlformats.org/officeDocument/2006/relationships/hyperlink" Target="https://cdm.unfccc.int/ProgrammeOfActivities/poa_db/CR71H6JE3IFAYZWSD8TBNPK5GOXMQV/viewCPAs" TargetMode="External"/><Relationship Id="rId27" Type="http://schemas.openxmlformats.org/officeDocument/2006/relationships/hyperlink" Target="https://cdm.unfccc.int/ProgrammeOfActivities/poa_db/8MAJSCEZTK02WX4IGYFVULONP5RD91/viewCPA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D1F9DE-94B0-4044-AB32-41B411AF91FD}">
  <sheetPr>
    <tabColor theme="7" tint="-0.249977111117893"/>
  </sheetPr>
  <dimension ref="A1:XFC27"/>
  <sheetViews>
    <sheetView topLeftCell="A2" zoomScale="116" zoomScaleNormal="100" workbookViewId="0">
      <selection activeCell="A12" sqref="A12"/>
    </sheetView>
  </sheetViews>
  <sheetFormatPr defaultColWidth="0" defaultRowHeight="14.4" x14ac:dyDescent="0.3"/>
  <cols>
    <col min="1" max="1" width="53.6640625" style="11" bestFit="1" customWidth="1"/>
    <col min="2" max="2" width="14.44140625" style="11" bestFit="1" customWidth="1"/>
    <col min="3" max="3" width="21" style="11" customWidth="1"/>
    <col min="4" max="4" width="49.33203125" style="11" customWidth="1"/>
    <col min="5" max="5" width="56.5546875" style="11" customWidth="1"/>
    <col min="6" max="16383" width="9.109375" style="11" hidden="1"/>
    <col min="16384" max="16384" width="28.6640625" style="11" hidden="1" customWidth="1"/>
  </cols>
  <sheetData>
    <row r="1" spans="1:5" ht="24" customHeight="1" x14ac:dyDescent="0.4">
      <c r="A1" s="88" t="s">
        <v>0</v>
      </c>
      <c r="B1" s="10"/>
    </row>
    <row r="2" spans="1:5" ht="28.2" customHeight="1" x14ac:dyDescent="0.3">
      <c r="A2" s="89"/>
    </row>
    <row r="3" spans="1:5" s="9" customFormat="1" x14ac:dyDescent="0.3">
      <c r="A3" s="100" t="s">
        <v>1</v>
      </c>
      <c r="B3" s="101"/>
      <c r="C3" s="101"/>
      <c r="D3" s="101"/>
      <c r="E3" s="102"/>
    </row>
    <row r="4" spans="1:5" s="9" customFormat="1" x14ac:dyDescent="0.3">
      <c r="A4" s="97" t="s">
        <v>2</v>
      </c>
      <c r="B4" s="98"/>
      <c r="C4" s="98"/>
      <c r="D4" s="98"/>
      <c r="E4" s="99"/>
    </row>
    <row r="5" spans="1:5" s="9" customFormat="1" ht="15.6" x14ac:dyDescent="0.3">
      <c r="A5" s="12" t="s">
        <v>3</v>
      </c>
      <c r="B5" s="14">
        <v>23</v>
      </c>
      <c r="C5" s="15" t="s">
        <v>4</v>
      </c>
      <c r="D5" s="86" t="s">
        <v>230</v>
      </c>
      <c r="E5" s="87"/>
    </row>
    <row r="6" spans="1:5" s="9" customFormat="1" ht="15.6" x14ac:dyDescent="0.3">
      <c r="A6" s="12" t="s">
        <v>5</v>
      </c>
      <c r="B6" s="14">
        <v>296</v>
      </c>
      <c r="C6" s="15" t="s">
        <v>6</v>
      </c>
      <c r="D6" s="86" t="s">
        <v>230</v>
      </c>
      <c r="E6" s="87"/>
    </row>
    <row r="7" spans="1:5" s="9" customFormat="1" ht="15.6" x14ac:dyDescent="0.3">
      <c r="A7" s="12" t="s">
        <v>3</v>
      </c>
      <c r="B7" s="71">
        <v>30</v>
      </c>
      <c r="C7" s="15" t="s">
        <v>4</v>
      </c>
      <c r="D7" s="72" t="s">
        <v>231</v>
      </c>
      <c r="E7" s="70"/>
    </row>
    <row r="8" spans="1:5" s="9" customFormat="1" ht="15.6" x14ac:dyDescent="0.3">
      <c r="A8" s="12" t="s">
        <v>5</v>
      </c>
      <c r="B8" s="71">
        <v>265</v>
      </c>
      <c r="C8" s="15" t="s">
        <v>6</v>
      </c>
      <c r="D8" s="72" t="s">
        <v>231</v>
      </c>
      <c r="E8" s="70"/>
    </row>
    <row r="9" spans="1:5" s="9" customFormat="1" ht="15.6" x14ac:dyDescent="0.3">
      <c r="A9" s="12" t="s">
        <v>3</v>
      </c>
      <c r="B9" s="71">
        <v>29.8</v>
      </c>
      <c r="C9" s="15" t="s">
        <v>4</v>
      </c>
      <c r="D9" s="72" t="s">
        <v>232</v>
      </c>
      <c r="E9" s="70"/>
    </row>
    <row r="10" spans="1:5" s="9" customFormat="1" ht="15.6" x14ac:dyDescent="0.3">
      <c r="A10" s="12" t="s">
        <v>5</v>
      </c>
      <c r="B10" s="71">
        <v>273</v>
      </c>
      <c r="C10" s="15" t="s">
        <v>6</v>
      </c>
      <c r="D10" s="72" t="s">
        <v>232</v>
      </c>
      <c r="E10" s="70"/>
    </row>
    <row r="11" spans="1:5" s="9" customFormat="1" x14ac:dyDescent="0.3">
      <c r="A11" s="97" t="s">
        <v>7</v>
      </c>
      <c r="B11" s="98"/>
      <c r="C11" s="98"/>
      <c r="D11" s="98"/>
      <c r="E11" s="99"/>
    </row>
    <row r="12" spans="1:5" s="9" customFormat="1" x14ac:dyDescent="0.3">
      <c r="A12" s="12" t="s">
        <v>78</v>
      </c>
      <c r="B12" s="16">
        <v>35.5</v>
      </c>
      <c r="C12" s="15" t="s">
        <v>8</v>
      </c>
      <c r="D12" s="86" t="s">
        <v>9</v>
      </c>
      <c r="E12" s="87"/>
    </row>
    <row r="13" spans="1:5" s="9" customFormat="1" x14ac:dyDescent="0.3">
      <c r="A13" s="12" t="s">
        <v>229</v>
      </c>
      <c r="B13" s="16">
        <f>43*1000</f>
        <v>43000</v>
      </c>
      <c r="C13" s="15" t="s">
        <v>80</v>
      </c>
      <c r="D13" s="86" t="s">
        <v>9</v>
      </c>
      <c r="E13" s="87"/>
    </row>
    <row r="14" spans="1:5" s="9" customFormat="1" x14ac:dyDescent="0.3">
      <c r="A14" s="17" t="s">
        <v>67</v>
      </c>
      <c r="B14" s="18">
        <f>19.2958*1000</f>
        <v>19295.8</v>
      </c>
      <c r="C14" s="15" t="s">
        <v>80</v>
      </c>
      <c r="D14" s="86" t="s">
        <v>9</v>
      </c>
      <c r="E14" s="87"/>
    </row>
    <row r="15" spans="1:5" x14ac:dyDescent="0.3">
      <c r="A15" s="97" t="s">
        <v>10</v>
      </c>
      <c r="B15" s="98"/>
      <c r="C15" s="98"/>
      <c r="D15" s="98"/>
      <c r="E15" s="99"/>
    </row>
    <row r="16" spans="1:5" x14ac:dyDescent="0.3">
      <c r="A16" s="12" t="s">
        <v>11</v>
      </c>
      <c r="B16" s="19">
        <v>0.82550000000000001</v>
      </c>
      <c r="C16" s="15" t="s">
        <v>12</v>
      </c>
      <c r="D16" s="86" t="s">
        <v>9</v>
      </c>
      <c r="E16" s="87"/>
    </row>
    <row r="17" spans="1:5" x14ac:dyDescent="0.3">
      <c r="A17" s="12" t="s">
        <v>13</v>
      </c>
      <c r="B17" s="20">
        <f>1346/1000</f>
        <v>1.3460000000000001</v>
      </c>
      <c r="C17" s="13" t="s">
        <v>14</v>
      </c>
      <c r="D17" s="93" t="s">
        <v>15</v>
      </c>
      <c r="E17" s="94"/>
    </row>
    <row r="18" spans="1:5" x14ac:dyDescent="0.3">
      <c r="A18" s="21" t="s">
        <v>16</v>
      </c>
      <c r="B18" s="21">
        <v>0.65700000000000003</v>
      </c>
      <c r="C18" s="21" t="s">
        <v>17</v>
      </c>
      <c r="D18" s="95" t="s">
        <v>18</v>
      </c>
      <c r="E18" s="96"/>
    </row>
    <row r="19" spans="1:5" x14ac:dyDescent="0.3">
      <c r="A19" s="21" t="s">
        <v>19</v>
      </c>
      <c r="B19" s="21">
        <v>1.98</v>
      </c>
      <c r="C19" s="21" t="s">
        <v>17</v>
      </c>
      <c r="D19" s="95" t="s">
        <v>20</v>
      </c>
      <c r="E19" s="96"/>
    </row>
    <row r="20" spans="1:5" s="9" customFormat="1" x14ac:dyDescent="0.3">
      <c r="A20" s="90" t="s">
        <v>77</v>
      </c>
      <c r="B20" s="91"/>
      <c r="C20" s="91"/>
      <c r="D20" s="91"/>
      <c r="E20" s="92"/>
    </row>
    <row r="21" spans="1:5" x14ac:dyDescent="0.3">
      <c r="A21" s="11" t="s">
        <v>67</v>
      </c>
      <c r="B21" s="11">
        <v>96.1</v>
      </c>
      <c r="C21" s="11" t="s">
        <v>79</v>
      </c>
    </row>
    <row r="22" spans="1:5" x14ac:dyDescent="0.3">
      <c r="A22" s="11" t="s">
        <v>229</v>
      </c>
      <c r="B22" s="11">
        <v>77.400000000000006</v>
      </c>
      <c r="C22" s="11" t="s">
        <v>79</v>
      </c>
    </row>
    <row r="23" spans="1:5" x14ac:dyDescent="0.3">
      <c r="A23" s="11" t="s">
        <v>78</v>
      </c>
      <c r="B23" s="11">
        <v>74.099999999999994</v>
      </c>
      <c r="C23" s="11" t="s">
        <v>79</v>
      </c>
    </row>
    <row r="24" spans="1:5" x14ac:dyDescent="0.3">
      <c r="A24" s="11" t="s">
        <v>83</v>
      </c>
      <c r="B24" s="11">
        <v>0</v>
      </c>
      <c r="D24" s="11" t="s">
        <v>84</v>
      </c>
    </row>
    <row r="27" spans="1:5" x14ac:dyDescent="0.3">
      <c r="A27" s="11" t="s">
        <v>293</v>
      </c>
      <c r="B27" s="85">
        <v>0.45</v>
      </c>
      <c r="C27" s="11" t="s">
        <v>294</v>
      </c>
    </row>
  </sheetData>
  <mergeCells count="15">
    <mergeCell ref="D12:E12"/>
    <mergeCell ref="D14:E14"/>
    <mergeCell ref="A1:A2"/>
    <mergeCell ref="A20:E20"/>
    <mergeCell ref="D16:E16"/>
    <mergeCell ref="D17:E17"/>
    <mergeCell ref="D18:E18"/>
    <mergeCell ref="D19:E19"/>
    <mergeCell ref="A15:E15"/>
    <mergeCell ref="A3:E3"/>
    <mergeCell ref="A4:E4"/>
    <mergeCell ref="D5:E5"/>
    <mergeCell ref="D6:E6"/>
    <mergeCell ref="A11:E11"/>
    <mergeCell ref="D13:E13"/>
  </mergeCells>
  <conditionalFormatting sqref="A3">
    <cfRule type="iconSet" priority="1">
      <iconSet iconSet="3Symbols2">
        <cfvo type="percent" val="0"/>
        <cfvo type="percent" val="33"/>
        <cfvo type="percent" val="67"/>
      </iconSet>
    </cfRule>
    <cfRule type="iconSet" priority="2">
      <iconSet iconSet="3Symbols2">
        <cfvo type="percent" val="0"/>
        <cfvo type="percent" val="33"/>
        <cfvo type="percent" val="67"/>
      </iconSet>
    </cfRule>
  </conditionalFormatting>
  <hyperlinks>
    <hyperlink ref="D17" r:id="rId1" xr:uid="{19F727EB-A034-4D5D-AA3B-85514D84486C}"/>
    <hyperlink ref="D19" r:id="rId2" location=":~:text=At%20room%20temperature%2C%20carbon%20dioxide,significantly%20depends%20on%20its%20temperature." xr:uid="{0AE87D36-516D-45E0-8104-30D24CE10E59}"/>
    <hyperlink ref="D18" r:id="rId3" location=":~:text=The%20density%20of%20methane%20(gas,equation%20(PV%3DnRT)." xr:uid="{F15CA0A6-74D2-4F48-8617-3DA14BDC9CB3}"/>
  </hyperlinks>
  <pageMargins left="0.7" right="0.7" top="0.75" bottom="0.75" header="0.3" footer="0.3"/>
  <pageSetup paperSize="9" scale="45"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1A0A8F-DF9B-4908-8551-36F5DD5523E4}">
  <dimension ref="A2:L118"/>
  <sheetViews>
    <sheetView tabSelected="1" topLeftCell="A94" zoomScaleNormal="100" workbookViewId="0">
      <selection activeCell="D107" sqref="D107"/>
    </sheetView>
  </sheetViews>
  <sheetFormatPr defaultRowHeight="14.4" x14ac:dyDescent="0.3"/>
  <cols>
    <col min="1" max="1" width="41.33203125" customWidth="1"/>
    <col min="2" max="2" width="17.33203125" bestFit="1" customWidth="1"/>
    <col min="3" max="3" width="20.33203125" customWidth="1"/>
    <col min="4" max="4" width="18.33203125" customWidth="1"/>
    <col min="5" max="5" width="14.109375" bestFit="1" customWidth="1"/>
    <col min="11" max="11" width="10.6640625" bestFit="1" customWidth="1"/>
  </cols>
  <sheetData>
    <row r="2" spans="1:7" x14ac:dyDescent="0.3">
      <c r="A2" s="22"/>
    </row>
    <row r="5" spans="1:7" x14ac:dyDescent="0.3">
      <c r="D5" s="51" t="s">
        <v>94</v>
      </c>
    </row>
    <row r="6" spans="1:7" x14ac:dyDescent="0.3">
      <c r="A6" s="22"/>
      <c r="E6" t="s">
        <v>90</v>
      </c>
      <c r="F6" t="s">
        <v>91</v>
      </c>
    </row>
    <row r="7" spans="1:7" x14ac:dyDescent="0.3">
      <c r="D7" t="s">
        <v>88</v>
      </c>
      <c r="E7" s="3">
        <f>SUM(PowerStationData2024!V3:V21)</f>
        <v>175515317.33333334</v>
      </c>
      <c r="F7" s="6">
        <f>E7/SUM($E$7:$E$9)</f>
        <v>0.86834470468229574</v>
      </c>
      <c r="G7" s="1" t="s">
        <v>98</v>
      </c>
    </row>
    <row r="8" spans="1:7" ht="96" customHeight="1" x14ac:dyDescent="0.3">
      <c r="A8" s="104"/>
      <c r="B8" s="104"/>
      <c r="D8" t="s">
        <v>89</v>
      </c>
      <c r="E8" s="4">
        <f>17957*1000</f>
        <v>17957000</v>
      </c>
      <c r="F8" s="6">
        <f>E8/SUM($E$7:$E$9)</f>
        <v>8.884048468753579E-2</v>
      </c>
      <c r="G8" s="1" t="s">
        <v>97</v>
      </c>
    </row>
    <row r="9" spans="1:7" x14ac:dyDescent="0.3">
      <c r="D9" t="s">
        <v>82</v>
      </c>
      <c r="E9" s="4">
        <f>8654*1000</f>
        <v>8654000</v>
      </c>
      <c r="F9" s="6">
        <f>E9/SUM($E$7:$E$9)</f>
        <v>4.281481063016844E-2</v>
      </c>
    </row>
    <row r="11" spans="1:7" x14ac:dyDescent="0.3">
      <c r="A11" s="22" t="s">
        <v>233</v>
      </c>
    </row>
    <row r="13" spans="1:7" x14ac:dyDescent="0.3">
      <c r="A13" t="s">
        <v>234</v>
      </c>
    </row>
    <row r="15" spans="1:7" x14ac:dyDescent="0.3">
      <c r="A15" s="51" t="s">
        <v>235</v>
      </c>
    </row>
    <row r="16" spans="1:7" x14ac:dyDescent="0.3">
      <c r="A16" t="s">
        <v>236</v>
      </c>
    </row>
    <row r="18" spans="1:1" x14ac:dyDescent="0.3">
      <c r="A18" s="51" t="s">
        <v>237</v>
      </c>
    </row>
    <row r="20" spans="1:1" x14ac:dyDescent="0.3">
      <c r="A20" t="s">
        <v>238</v>
      </c>
    </row>
    <row r="21" spans="1:1" x14ac:dyDescent="0.3">
      <c r="A21" t="s">
        <v>239</v>
      </c>
    </row>
    <row r="23" spans="1:1" x14ac:dyDescent="0.3">
      <c r="A23" s="51" t="s">
        <v>240</v>
      </c>
    </row>
    <row r="25" spans="1:1" x14ac:dyDescent="0.3">
      <c r="A25" t="s">
        <v>241</v>
      </c>
    </row>
    <row r="27" spans="1:1" x14ac:dyDescent="0.3">
      <c r="A27" s="51" t="s">
        <v>242</v>
      </c>
    </row>
    <row r="29" spans="1:1" x14ac:dyDescent="0.3">
      <c r="A29" t="s">
        <v>243</v>
      </c>
    </row>
    <row r="31" spans="1:1" x14ac:dyDescent="0.3">
      <c r="A31" s="51" t="s">
        <v>244</v>
      </c>
    </row>
    <row r="33" spans="1:4" x14ac:dyDescent="0.3">
      <c r="A33" t="s">
        <v>245</v>
      </c>
    </row>
    <row r="35" spans="1:4" x14ac:dyDescent="0.3">
      <c r="A35" t="s">
        <v>246</v>
      </c>
    </row>
    <row r="37" spans="1:4" x14ac:dyDescent="0.3">
      <c r="A37" t="s">
        <v>286</v>
      </c>
      <c r="B37" s="6">
        <f>(PowerStationData2024!T22+PowerStationData2024!T23+E9)/SUM(PowerStationData2024!T3:T23,E9)</f>
        <v>0.13530664905916145</v>
      </c>
      <c r="C37" t="s">
        <v>247</v>
      </c>
    </row>
    <row r="39" spans="1:4" x14ac:dyDescent="0.3">
      <c r="A39" t="s">
        <v>248</v>
      </c>
    </row>
    <row r="40" spans="1:4" x14ac:dyDescent="0.3">
      <c r="A40" t="s">
        <v>249</v>
      </c>
    </row>
    <row r="41" spans="1:4" x14ac:dyDescent="0.3">
      <c r="A41" t="s">
        <v>250</v>
      </c>
    </row>
    <row r="43" spans="1:4" x14ac:dyDescent="0.3">
      <c r="A43" t="s">
        <v>251</v>
      </c>
      <c r="B43">
        <f>ROUND(AVERAGE(SUMPRODUCT(PowerStationData2024!$Q$3:$Q$21,PowerStationData2024!$Q$102:$Q$120),SUMPRODUCT(PowerStationData2024!$R$3:$R$21,PowerStationData2024!$R$102:$R$120),SUMPRODUCT(PowerStationData2024!$T$3:$T$21,PowerStationData2024!$T$102:$T$120))/AVERAGE(SUM(PowerStationData2024!$Q$3:$Q$21),SUM(PowerStationData2024!$R$3:$R$21),SUM(PowerStationData2024!$T$3:$T$21)),4)</f>
        <v>1.1157999999999999</v>
      </c>
      <c r="C43" t="s">
        <v>81</v>
      </c>
      <c r="D43" s="1" t="s">
        <v>253</v>
      </c>
    </row>
    <row r="44" spans="1:4" x14ac:dyDescent="0.3">
      <c r="A44" t="s">
        <v>252</v>
      </c>
      <c r="B44">
        <f>ROUND(SUMPRODUCT(PowerStationData2024!$T$3:$T$21,PowerStationData2024!$T$102:$T$120)/SUM(PowerStationData2024!$T$3:$T$21),4)</f>
        <v>1.1462000000000001</v>
      </c>
      <c r="C44" t="s">
        <v>81</v>
      </c>
      <c r="D44" s="1"/>
    </row>
    <row r="46" spans="1:4" x14ac:dyDescent="0.3">
      <c r="A46" t="s">
        <v>254</v>
      </c>
    </row>
    <row r="48" spans="1:4" x14ac:dyDescent="0.3">
      <c r="A48" t="s">
        <v>255</v>
      </c>
      <c r="D48">
        <v>2026</v>
      </c>
    </row>
    <row r="49" spans="1:12" x14ac:dyDescent="0.3">
      <c r="A49" t="s">
        <v>256</v>
      </c>
      <c r="D49">
        <v>2024</v>
      </c>
    </row>
    <row r="50" spans="1:12" x14ac:dyDescent="0.3">
      <c r="A50" t="s">
        <v>295</v>
      </c>
      <c r="D50" s="7">
        <v>0.22339999999999999</v>
      </c>
    </row>
    <row r="52" spans="1:12" x14ac:dyDescent="0.3">
      <c r="A52" t="s">
        <v>257</v>
      </c>
      <c r="D52" s="77" t="s">
        <v>269</v>
      </c>
      <c r="E52" s="78" t="s">
        <v>270</v>
      </c>
      <c r="F52" s="79" t="s">
        <v>271</v>
      </c>
      <c r="H52" s="77" t="s">
        <v>269</v>
      </c>
      <c r="I52" s="78" t="s">
        <v>270</v>
      </c>
      <c r="J52" s="78" t="s">
        <v>271</v>
      </c>
      <c r="K52" s="78" t="s">
        <v>275</v>
      </c>
      <c r="L52" s="79" t="s">
        <v>276</v>
      </c>
    </row>
    <row r="53" spans="1:12" x14ac:dyDescent="0.3">
      <c r="A53" t="s">
        <v>258</v>
      </c>
      <c r="D53" s="80">
        <v>2022</v>
      </c>
      <c r="E53" s="81">
        <v>2023</v>
      </c>
      <c r="F53" s="82">
        <v>2024</v>
      </c>
      <c r="H53" s="80">
        <v>2020</v>
      </c>
      <c r="I53" s="81">
        <v>2021</v>
      </c>
      <c r="J53" s="81">
        <v>2022</v>
      </c>
      <c r="K53" s="81">
        <v>2023</v>
      </c>
      <c r="L53" s="82">
        <v>2024</v>
      </c>
    </row>
    <row r="55" spans="1:12" x14ac:dyDescent="0.3">
      <c r="A55" t="s">
        <v>262</v>
      </c>
      <c r="B55">
        <f>SUM(PowerStationData2024!F271:F321)</f>
        <v>46728</v>
      </c>
      <c r="C55" t="s">
        <v>263</v>
      </c>
    </row>
    <row r="56" spans="1:12" x14ac:dyDescent="0.3">
      <c r="A56" t="s">
        <v>264</v>
      </c>
      <c r="B56">
        <f>SUMIF(PowerStationData2024!G271:G321,D53,PowerStationData2024!F271:F321)+SUMIF(PowerStationData2024!G271:G321,E53,PowerStationData2024!F271:F321)+SUMIF(PowerStationData2024!G271:G321,F53,PowerStationData2024!F271:F321)</f>
        <v>1200</v>
      </c>
      <c r="C56" t="s">
        <v>263</v>
      </c>
    </row>
    <row r="57" spans="1:12" x14ac:dyDescent="0.3">
      <c r="A57" t="s">
        <v>266</v>
      </c>
      <c r="B57">
        <f>0.05*B55</f>
        <v>2336.4</v>
      </c>
      <c r="C57" t="s">
        <v>263</v>
      </c>
    </row>
    <row r="58" spans="1:12" x14ac:dyDescent="0.3">
      <c r="A58" t="s">
        <v>267</v>
      </c>
      <c r="B58" t="b">
        <f>IF(B56&gt;=B57,TRUE,FALSE)</f>
        <v>0</v>
      </c>
    </row>
    <row r="59" spans="1:12" x14ac:dyDescent="0.3">
      <c r="A59" t="s">
        <v>273</v>
      </c>
      <c r="B59">
        <v>5</v>
      </c>
    </row>
    <row r="60" spans="1:12" x14ac:dyDescent="0.3">
      <c r="A60" t="s">
        <v>274</v>
      </c>
      <c r="B60" t="b">
        <f>IF(AND(B58=TRUE,B59&gt;=5),TRUE,FALSE)</f>
        <v>0</v>
      </c>
    </row>
    <row r="62" spans="1:12" x14ac:dyDescent="0.3">
      <c r="A62" t="s">
        <v>272</v>
      </c>
    </row>
    <row r="63" spans="1:12" x14ac:dyDescent="0.3">
      <c r="A63" t="str" cm="1">
        <f t="array" ref="A63:A64">_xlfn._xlws.FILTER(PowerStationData2024!A271:A321,PowerStationData2024!H271:H321=1,"")</f>
        <v>Kusile Unit 4</v>
      </c>
    </row>
    <row r="64" spans="1:12" x14ac:dyDescent="0.3">
      <c r="A64" t="str">
        <v>Kusile Unit 5</v>
      </c>
    </row>
    <row r="75" spans="1:5" x14ac:dyDescent="0.3">
      <c r="A75" t="s">
        <v>277</v>
      </c>
    </row>
    <row r="76" spans="1:5" x14ac:dyDescent="0.3">
      <c r="A76" t="s">
        <v>278</v>
      </c>
    </row>
    <row r="77" spans="1:5" x14ac:dyDescent="0.3">
      <c r="A77" t="s">
        <v>176</v>
      </c>
      <c r="B77" t="s">
        <v>183</v>
      </c>
      <c r="C77" t="s">
        <v>99</v>
      </c>
      <c r="D77" t="s">
        <v>184</v>
      </c>
      <c r="E77" t="s">
        <v>193</v>
      </c>
    </row>
    <row r="78" spans="1:5" x14ac:dyDescent="0.3">
      <c r="A78" t="str" cm="1">
        <f t="array" ref="A78:E84">_xlfn._xlws.FILTER(PowerStationData2024!A271:E321,PowerStationData2024!I271:I321=1,"")</f>
        <v>Kusile Unit 2</v>
      </c>
      <c r="B78">
        <v>44134</v>
      </c>
      <c r="C78" s="4">
        <v>1710419.1666666667</v>
      </c>
      <c r="D78">
        <v>6</v>
      </c>
      <c r="E78" s="8">
        <v>0.76879999999999993</v>
      </c>
    </row>
    <row r="79" spans="1:5" x14ac:dyDescent="0.3">
      <c r="A79" t="str">
        <v>Kusile Unit 3</v>
      </c>
      <c r="B79">
        <v>44286</v>
      </c>
      <c r="C79" s="4">
        <v>1710419.1666666667</v>
      </c>
      <c r="D79">
        <v>4</v>
      </c>
      <c r="E79" s="8">
        <v>0.76879999999999993</v>
      </c>
    </row>
    <row r="80" spans="1:5" x14ac:dyDescent="0.3">
      <c r="A80" t="str">
        <v>Kusile Unit 4</v>
      </c>
      <c r="B80">
        <v>44712</v>
      </c>
      <c r="C80" s="4">
        <v>1710419.1666666667</v>
      </c>
      <c r="D80">
        <v>2</v>
      </c>
      <c r="E80" s="8">
        <v>0.76879999999999993</v>
      </c>
    </row>
    <row r="81" spans="1:5" x14ac:dyDescent="0.3">
      <c r="A81" t="str">
        <v>Kusile Unit 5</v>
      </c>
      <c r="B81">
        <v>45291</v>
      </c>
      <c r="C81" s="4">
        <v>1710419.1666666667</v>
      </c>
      <c r="D81">
        <v>1</v>
      </c>
      <c r="E81" s="8">
        <v>0.76879999999999993</v>
      </c>
    </row>
    <row r="82" spans="1:5" x14ac:dyDescent="0.3">
      <c r="A82" t="str">
        <v>Kusile Unit 6</v>
      </c>
      <c r="B82">
        <v>44103</v>
      </c>
      <c r="C82" s="4">
        <v>1710419.1666666667</v>
      </c>
      <c r="D82">
        <v>7</v>
      </c>
      <c r="E82" s="8">
        <v>0.76879999999999993</v>
      </c>
    </row>
    <row r="83" spans="1:5" x14ac:dyDescent="0.3">
      <c r="A83" t="str">
        <v>TWE Golden Valley Wind Power Project</v>
      </c>
      <c r="B83">
        <v>44317</v>
      </c>
      <c r="C83" s="4">
        <v>509303</v>
      </c>
      <c r="D83">
        <v>3</v>
      </c>
      <c r="E83" s="8">
        <v>0</v>
      </c>
    </row>
    <row r="84" spans="1:5" x14ac:dyDescent="0.3">
      <c r="A84" t="str">
        <v>GS11949 Small-scale solar electrical programme, South Africa</v>
      </c>
      <c r="B84">
        <v>44181</v>
      </c>
      <c r="C84" s="4">
        <v>22500</v>
      </c>
      <c r="D84">
        <v>5</v>
      </c>
      <c r="E84" s="8">
        <v>0</v>
      </c>
    </row>
    <row r="88" spans="1:5" x14ac:dyDescent="0.3">
      <c r="A88" t="s">
        <v>199</v>
      </c>
      <c r="B88" s="83">
        <f>SUMPRODUCT(C78:C84,E78:E84)/SUM(C78:C84)*(1-(D50*(D48-D49)))</f>
        <v>0.40040161091460852</v>
      </c>
      <c r="C88" t="s">
        <v>81</v>
      </c>
    </row>
    <row r="90" spans="1:5" x14ac:dyDescent="0.3">
      <c r="A90" s="51" t="s">
        <v>280</v>
      </c>
    </row>
    <row r="91" spans="1:5" x14ac:dyDescent="0.3">
      <c r="A91" t="s">
        <v>279</v>
      </c>
    </row>
    <row r="92" spans="1:5" x14ac:dyDescent="0.3">
      <c r="A92" s="65"/>
      <c r="B92" s="103" t="s">
        <v>197</v>
      </c>
      <c r="C92" s="103"/>
    </row>
    <row r="93" spans="1:5" x14ac:dyDescent="0.3">
      <c r="A93" s="65"/>
      <c r="B93" s="65" t="s">
        <v>198</v>
      </c>
      <c r="C93" s="65" t="s">
        <v>199</v>
      </c>
    </row>
    <row r="94" spans="1:5" x14ac:dyDescent="0.3">
      <c r="A94" s="65" t="s">
        <v>282</v>
      </c>
      <c r="B94" s="65">
        <v>0.75</v>
      </c>
      <c r="C94" s="65">
        <v>0.25</v>
      </c>
    </row>
    <row r="95" spans="1:5" x14ac:dyDescent="0.3">
      <c r="A95" s="65" t="s">
        <v>283</v>
      </c>
      <c r="B95" s="65">
        <v>0.375</v>
      </c>
      <c r="C95" s="65">
        <v>0.625</v>
      </c>
    </row>
    <row r="97" spans="1:3" x14ac:dyDescent="0.3">
      <c r="A97" t="s">
        <v>281</v>
      </c>
    </row>
    <row r="98" spans="1:3" x14ac:dyDescent="0.3">
      <c r="A98" s="65"/>
      <c r="B98" s="103" t="s">
        <v>197</v>
      </c>
      <c r="C98" s="103"/>
    </row>
    <row r="99" spans="1:3" x14ac:dyDescent="0.3">
      <c r="A99" s="65"/>
      <c r="B99" s="65" t="s">
        <v>198</v>
      </c>
      <c r="C99" s="65" t="s">
        <v>199</v>
      </c>
    </row>
    <row r="100" spans="1:3" x14ac:dyDescent="0.3">
      <c r="A100" s="65" t="s">
        <v>282</v>
      </c>
      <c r="B100" s="65">
        <v>0.25</v>
      </c>
      <c r="C100" s="65">
        <v>0.75</v>
      </c>
    </row>
    <row r="101" spans="1:3" x14ac:dyDescent="0.3">
      <c r="A101" s="65" t="s">
        <v>283</v>
      </c>
      <c r="B101" s="65">
        <v>0.125</v>
      </c>
      <c r="C101" s="65">
        <f>1-B101</f>
        <v>0.875</v>
      </c>
    </row>
    <row r="103" spans="1:3" x14ac:dyDescent="0.3">
      <c r="A103" s="51" t="s">
        <v>227</v>
      </c>
    </row>
    <row r="105" spans="1:3" x14ac:dyDescent="0.3">
      <c r="A105" t="s">
        <v>284</v>
      </c>
    </row>
    <row r="106" spans="1:3" x14ac:dyDescent="0.3">
      <c r="A106" s="65"/>
      <c r="B106" s="65" t="s">
        <v>197</v>
      </c>
    </row>
    <row r="107" spans="1:3" x14ac:dyDescent="0.3">
      <c r="A107" s="65"/>
      <c r="B107" s="65" t="s">
        <v>206</v>
      </c>
    </row>
    <row r="108" spans="1:3" x14ac:dyDescent="0.3">
      <c r="A108" s="65" t="s">
        <v>282</v>
      </c>
      <c r="B108" s="66">
        <f>$B$44*B94+$B$88*C94</f>
        <v>0.9597504027286522</v>
      </c>
    </row>
    <row r="109" spans="1:3" x14ac:dyDescent="0.3">
      <c r="A109" s="65" t="s">
        <v>283</v>
      </c>
      <c r="B109" s="66">
        <f>$B$44*B95+$B$88*C95</f>
        <v>0.68007600682163027</v>
      </c>
    </row>
    <row r="111" spans="1:3" x14ac:dyDescent="0.3">
      <c r="A111" t="s">
        <v>285</v>
      </c>
    </row>
    <row r="112" spans="1:3" x14ac:dyDescent="0.3">
      <c r="A112" s="65"/>
      <c r="B112" s="65" t="s">
        <v>197</v>
      </c>
    </row>
    <row r="113" spans="1:2" x14ac:dyDescent="0.3">
      <c r="A113" s="65"/>
      <c r="B113" s="65" t="s">
        <v>206</v>
      </c>
    </row>
    <row r="114" spans="1:2" x14ac:dyDescent="0.3">
      <c r="A114" s="65" t="s">
        <v>282</v>
      </c>
      <c r="B114" s="66">
        <f>$B$43*B100+$B$88*C100</f>
        <v>0.57925120818595643</v>
      </c>
    </row>
    <row r="115" spans="1:2" x14ac:dyDescent="0.3">
      <c r="A115" s="65" t="s">
        <v>283</v>
      </c>
      <c r="B115" s="66">
        <f>$B$43*B101+$B$88*C101</f>
        <v>0.48982640955028245</v>
      </c>
    </row>
    <row r="118" spans="1:2" x14ac:dyDescent="0.3">
      <c r="B118" s="84"/>
    </row>
  </sheetData>
  <mergeCells count="3">
    <mergeCell ref="B92:C92"/>
    <mergeCell ref="B98:C98"/>
    <mergeCell ref="A8:B8"/>
  </mergeCells>
  <conditionalFormatting sqref="B37">
    <cfRule type="cellIs" dxfId="1" priority="1" operator="greaterThan">
      <formula>0.3</formula>
    </cfRule>
    <cfRule type="cellIs" dxfId="0" priority="2" operator="lessThan">
      <formula>0.3</formula>
    </cfRule>
  </conditionalFormatting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D2A0F3-681C-4DF5-8756-9A778DEF04CD}">
  <dimension ref="A1:X321"/>
  <sheetViews>
    <sheetView zoomScale="85" zoomScaleNormal="85" workbookViewId="0">
      <selection activeCell="I299" sqref="I299"/>
    </sheetView>
  </sheetViews>
  <sheetFormatPr defaultColWidth="8.88671875" defaultRowHeight="13.2" x14ac:dyDescent="0.25"/>
  <cols>
    <col min="1" max="1" width="71.44140625" style="34" bestFit="1" customWidth="1"/>
    <col min="2" max="2" width="13.33203125" style="34" customWidth="1"/>
    <col min="3" max="3" width="15.88671875" style="34" customWidth="1"/>
    <col min="4" max="4" width="14.33203125" style="34" customWidth="1"/>
    <col min="5" max="5" width="8.44140625" style="34" customWidth="1"/>
    <col min="6" max="6" width="11.5546875" style="34" customWidth="1"/>
    <col min="7" max="7" width="15.88671875" style="34" customWidth="1"/>
    <col min="8" max="8" width="9" style="34" customWidth="1"/>
    <col min="9" max="12" width="9.6640625" style="34" customWidth="1"/>
    <col min="13" max="13" width="11.88671875" style="34" customWidth="1"/>
    <col min="14" max="14" width="9" style="34" customWidth="1"/>
    <col min="15" max="15" width="9.33203125" style="34" customWidth="1"/>
    <col min="16" max="16" width="9.6640625" style="34" customWidth="1"/>
    <col min="17" max="17" width="10.6640625" style="34" customWidth="1"/>
    <col min="18" max="18" width="9.6640625" style="34" bestFit="1" customWidth="1"/>
    <col min="19" max="19" width="9.6640625" style="34" customWidth="1"/>
    <col min="20" max="21" width="9.6640625" style="34" bestFit="1" customWidth="1"/>
    <col min="22" max="22" width="10.88671875" style="34" customWidth="1"/>
    <col min="23" max="23" width="9.6640625" style="34" customWidth="1"/>
    <col min="24" max="16384" width="8.88671875" style="34"/>
  </cols>
  <sheetData>
    <row r="1" spans="1:23" x14ac:dyDescent="0.25">
      <c r="A1" s="53" t="s">
        <v>99</v>
      </c>
    </row>
    <row r="2" spans="1:23" x14ac:dyDescent="0.25">
      <c r="A2" s="23" t="s">
        <v>64</v>
      </c>
      <c r="B2" s="23" t="s">
        <v>63</v>
      </c>
      <c r="C2" s="23" t="s">
        <v>42</v>
      </c>
      <c r="D2" s="23" t="s">
        <v>26</v>
      </c>
      <c r="E2" s="23" t="s">
        <v>27</v>
      </c>
      <c r="F2" s="23" t="s">
        <v>28</v>
      </c>
      <c r="G2" s="23" t="s">
        <v>29</v>
      </c>
      <c r="H2" s="23" t="s">
        <v>30</v>
      </c>
      <c r="I2" s="23" t="s">
        <v>31</v>
      </c>
      <c r="J2" s="23" t="s">
        <v>32</v>
      </c>
      <c r="K2" s="23" t="s">
        <v>33</v>
      </c>
      <c r="L2" s="23" t="s">
        <v>34</v>
      </c>
      <c r="M2" s="23" t="s">
        <v>35</v>
      </c>
      <c r="N2" s="23" t="s">
        <v>36</v>
      </c>
      <c r="O2" s="23" t="s">
        <v>37</v>
      </c>
      <c r="P2" s="23" t="s">
        <v>38</v>
      </c>
      <c r="Q2" s="23" t="s">
        <v>39</v>
      </c>
      <c r="R2" s="23" t="s">
        <v>40</v>
      </c>
      <c r="S2" s="23" t="s">
        <v>41</v>
      </c>
      <c r="T2" s="23" t="s">
        <v>228</v>
      </c>
      <c r="V2" s="34" t="s">
        <v>74</v>
      </c>
      <c r="W2" s="34" t="s">
        <v>75</v>
      </c>
    </row>
    <row r="3" spans="1:23" x14ac:dyDescent="0.25">
      <c r="A3" s="24" t="s">
        <v>43</v>
      </c>
      <c r="B3" s="25">
        <v>1098</v>
      </c>
      <c r="C3" s="26">
        <v>25700</v>
      </c>
      <c r="D3" s="27">
        <v>25700</v>
      </c>
      <c r="E3" s="28">
        <f>YEAR(D3)</f>
        <v>1970</v>
      </c>
      <c r="F3" s="29" t="s">
        <v>44</v>
      </c>
      <c r="G3" s="30">
        <v>11938206</v>
      </c>
      <c r="H3" s="30">
        <v>11412357</v>
      </c>
      <c r="I3" s="30">
        <v>9489357</v>
      </c>
      <c r="J3" s="30">
        <v>8861776</v>
      </c>
      <c r="K3" s="30">
        <v>10079833</v>
      </c>
      <c r="L3" s="31">
        <v>8172225</v>
      </c>
      <c r="M3" s="30">
        <v>8919238</v>
      </c>
      <c r="N3" s="30">
        <v>7667408</v>
      </c>
      <c r="O3" s="30">
        <v>7355513</v>
      </c>
      <c r="P3" s="30">
        <v>4785111</v>
      </c>
      <c r="Q3" s="30">
        <v>4873506</v>
      </c>
      <c r="R3" s="30">
        <v>4738179</v>
      </c>
      <c r="S3" s="30">
        <v>2136620</v>
      </c>
      <c r="T3" s="30">
        <v>2305812</v>
      </c>
      <c r="V3" s="47">
        <f>AVERAGE(R3:T3)</f>
        <v>3060203.6666666665</v>
      </c>
      <c r="W3" s="47">
        <f>T3</f>
        <v>2305812</v>
      </c>
    </row>
    <row r="4" spans="1:23" x14ac:dyDescent="0.25">
      <c r="A4" s="24" t="s">
        <v>45</v>
      </c>
      <c r="B4" s="25">
        <v>2100</v>
      </c>
      <c r="C4" s="26">
        <v>26197</v>
      </c>
      <c r="D4" s="27">
        <v>26197</v>
      </c>
      <c r="E4" s="28">
        <f t="shared" ref="E4:E22" si="0">YEAR(D4)</f>
        <v>1971</v>
      </c>
      <c r="F4" s="29" t="s">
        <v>44</v>
      </c>
      <c r="G4" s="30">
        <v>12194878</v>
      </c>
      <c r="H4" s="30">
        <v>12229098</v>
      </c>
      <c r="I4" s="30">
        <v>11950797</v>
      </c>
      <c r="J4" s="30">
        <v>10840753</v>
      </c>
      <c r="K4" s="30">
        <v>9893812</v>
      </c>
      <c r="L4" s="31">
        <v>10099018</v>
      </c>
      <c r="M4" s="30">
        <v>10483060</v>
      </c>
      <c r="N4" s="30">
        <v>10305115</v>
      </c>
      <c r="O4" s="30">
        <v>9929077</v>
      </c>
      <c r="P4" s="30">
        <v>10713440</v>
      </c>
      <c r="Q4" s="30">
        <v>10148766</v>
      </c>
      <c r="R4" s="30">
        <v>9085064</v>
      </c>
      <c r="S4" s="30">
        <v>7530158</v>
      </c>
      <c r="T4" s="30">
        <v>8353868</v>
      </c>
      <c r="V4" s="47">
        <f t="shared" ref="V4:V23" si="1">AVERAGE(R4:T4)</f>
        <v>8323030</v>
      </c>
      <c r="W4" s="47">
        <f t="shared" ref="W4:W23" si="2">T4</f>
        <v>8353868</v>
      </c>
    </row>
    <row r="5" spans="1:23" x14ac:dyDescent="0.25">
      <c r="A5" s="24" t="s">
        <v>46</v>
      </c>
      <c r="B5" s="25">
        <v>2640</v>
      </c>
      <c r="C5" s="26">
        <v>27886</v>
      </c>
      <c r="D5" s="27">
        <v>27886</v>
      </c>
      <c r="E5" s="28">
        <f t="shared" si="0"/>
        <v>1976</v>
      </c>
      <c r="F5" s="29" t="s">
        <v>44</v>
      </c>
      <c r="G5" s="30">
        <v>18204910</v>
      </c>
      <c r="H5" s="30">
        <v>15289169</v>
      </c>
      <c r="I5" s="30">
        <v>16570689</v>
      </c>
      <c r="J5" s="30">
        <v>14443442</v>
      </c>
      <c r="K5" s="30">
        <v>14803828</v>
      </c>
      <c r="L5" s="31">
        <v>15940417</v>
      </c>
      <c r="M5" s="30">
        <v>14837902</v>
      </c>
      <c r="N5" s="30">
        <v>12183630</v>
      </c>
      <c r="O5" s="30">
        <v>13067561</v>
      </c>
      <c r="P5" s="30">
        <v>13951805</v>
      </c>
      <c r="Q5" s="30">
        <v>11328488</v>
      </c>
      <c r="R5" s="30">
        <v>12597519</v>
      </c>
      <c r="S5" s="30">
        <v>10727877</v>
      </c>
      <c r="T5" s="30">
        <v>7823567</v>
      </c>
      <c r="V5" s="47">
        <f t="shared" si="1"/>
        <v>10382987.666666666</v>
      </c>
      <c r="W5" s="47">
        <f t="shared" si="2"/>
        <v>7823567</v>
      </c>
    </row>
    <row r="6" spans="1:23" x14ac:dyDescent="0.25">
      <c r="A6" s="24" t="s">
        <v>47</v>
      </c>
      <c r="B6" s="25">
        <v>171</v>
      </c>
      <c r="C6" s="26">
        <v>27893</v>
      </c>
      <c r="D6" s="27">
        <v>27893</v>
      </c>
      <c r="E6" s="28">
        <f t="shared" si="0"/>
        <v>1976</v>
      </c>
      <c r="F6" s="29" t="s">
        <v>44</v>
      </c>
      <c r="G6" s="32">
        <v>992</v>
      </c>
      <c r="H6" s="30">
        <v>1163</v>
      </c>
      <c r="I6" s="30">
        <v>9958</v>
      </c>
      <c r="J6" s="30">
        <v>56443</v>
      </c>
      <c r="K6" s="30">
        <v>64570</v>
      </c>
      <c r="L6" s="31">
        <v>55960</v>
      </c>
      <c r="M6" s="32">
        <v>151</v>
      </c>
      <c r="N6" s="32">
        <v>76</v>
      </c>
      <c r="O6" s="30">
        <v>1712</v>
      </c>
      <c r="P6" s="32">
        <v>438</v>
      </c>
      <c r="Q6" s="30">
        <v>1467</v>
      </c>
      <c r="R6" s="32">
        <v>873</v>
      </c>
      <c r="S6" s="30">
        <v>1069</v>
      </c>
      <c r="T6" s="30">
        <v>2406</v>
      </c>
      <c r="V6" s="47">
        <f t="shared" si="1"/>
        <v>1449.3333333333333</v>
      </c>
      <c r="W6" s="47">
        <f t="shared" si="2"/>
        <v>2406</v>
      </c>
    </row>
    <row r="7" spans="1:23" x14ac:dyDescent="0.25">
      <c r="A7" s="24" t="s">
        <v>48</v>
      </c>
      <c r="B7" s="25">
        <v>171</v>
      </c>
      <c r="C7" s="26">
        <v>28033</v>
      </c>
      <c r="D7" s="27">
        <v>28033</v>
      </c>
      <c r="E7" s="28">
        <f t="shared" si="0"/>
        <v>1976</v>
      </c>
      <c r="F7" s="29" t="s">
        <v>44</v>
      </c>
      <c r="G7" s="30">
        <v>5507</v>
      </c>
      <c r="H7" s="30">
        <v>2162</v>
      </c>
      <c r="I7" s="30">
        <v>10830</v>
      </c>
      <c r="J7" s="30">
        <v>73166</v>
      </c>
      <c r="K7" s="30">
        <v>67421</v>
      </c>
      <c r="L7" s="31">
        <v>68699</v>
      </c>
      <c r="M7" s="32">
        <v>41</v>
      </c>
      <c r="N7" s="32">
        <v>63</v>
      </c>
      <c r="O7" s="30">
        <v>1787</v>
      </c>
      <c r="P7" s="32">
        <v>436</v>
      </c>
      <c r="Q7" s="30">
        <v>1457</v>
      </c>
      <c r="R7" s="32">
        <v>937</v>
      </c>
      <c r="S7" s="30">
        <v>3010</v>
      </c>
      <c r="T7" s="30">
        <v>4340</v>
      </c>
      <c r="V7" s="47">
        <f t="shared" si="1"/>
        <v>2762.3333333333335</v>
      </c>
      <c r="W7" s="47">
        <f t="shared" si="2"/>
        <v>4340</v>
      </c>
    </row>
    <row r="8" spans="1:23" x14ac:dyDescent="0.25">
      <c r="A8" s="24" t="s">
        <v>49</v>
      </c>
      <c r="B8" s="25">
        <v>3450</v>
      </c>
      <c r="C8" s="26">
        <v>29127</v>
      </c>
      <c r="D8" s="27">
        <v>29127</v>
      </c>
      <c r="E8" s="28">
        <f t="shared" si="0"/>
        <v>1979</v>
      </c>
      <c r="F8" s="29" t="s">
        <v>44</v>
      </c>
      <c r="G8" s="30">
        <v>21504422</v>
      </c>
      <c r="H8" s="30">
        <v>20650022</v>
      </c>
      <c r="I8" s="30">
        <v>21939690</v>
      </c>
      <c r="J8" s="30">
        <v>18376342</v>
      </c>
      <c r="K8" s="30">
        <v>20221135</v>
      </c>
      <c r="L8" s="31">
        <v>20811348</v>
      </c>
      <c r="M8" s="30">
        <v>20032197</v>
      </c>
      <c r="N8" s="30">
        <v>19408403</v>
      </c>
      <c r="O8" s="30">
        <v>18938849</v>
      </c>
      <c r="P8" s="30">
        <v>19887819</v>
      </c>
      <c r="Q8" s="30">
        <v>18560297</v>
      </c>
      <c r="R8" s="30">
        <v>18412664</v>
      </c>
      <c r="S8" s="30">
        <v>15170449</v>
      </c>
      <c r="T8" s="30">
        <v>12464364</v>
      </c>
      <c r="V8" s="47">
        <f t="shared" si="1"/>
        <v>15349159</v>
      </c>
      <c r="W8" s="47">
        <f t="shared" si="2"/>
        <v>12464364</v>
      </c>
    </row>
    <row r="9" spans="1:23" x14ac:dyDescent="0.25">
      <c r="A9" s="24" t="s">
        <v>50</v>
      </c>
      <c r="B9" s="25">
        <v>2875</v>
      </c>
      <c r="C9" s="26">
        <v>29451</v>
      </c>
      <c r="D9" s="27">
        <v>29451</v>
      </c>
      <c r="E9" s="28">
        <f t="shared" si="0"/>
        <v>1980</v>
      </c>
      <c r="F9" s="29" t="s">
        <v>44</v>
      </c>
      <c r="G9" s="30">
        <v>20267508</v>
      </c>
      <c r="H9" s="30">
        <v>17556459</v>
      </c>
      <c r="I9" s="30">
        <v>17413964</v>
      </c>
      <c r="J9" s="30">
        <v>17925378</v>
      </c>
      <c r="K9" s="30">
        <v>13191464</v>
      </c>
      <c r="L9" s="31">
        <v>14060101</v>
      </c>
      <c r="M9" s="30">
        <v>16359000</v>
      </c>
      <c r="N9" s="30">
        <v>13001015</v>
      </c>
      <c r="O9" s="30">
        <v>11120844</v>
      </c>
      <c r="P9" s="30">
        <v>10649157</v>
      </c>
      <c r="Q9" s="30">
        <v>11230400</v>
      </c>
      <c r="R9" s="30">
        <v>9822489</v>
      </c>
      <c r="S9" s="30">
        <v>9555266</v>
      </c>
      <c r="T9" s="30">
        <v>11787013</v>
      </c>
      <c r="V9" s="47">
        <f t="shared" si="1"/>
        <v>10388256</v>
      </c>
      <c r="W9" s="47">
        <f t="shared" si="2"/>
        <v>11787013</v>
      </c>
    </row>
    <row r="10" spans="1:23" x14ac:dyDescent="0.25">
      <c r="A10" s="24" t="s">
        <v>51</v>
      </c>
      <c r="B10" s="25">
        <v>3510</v>
      </c>
      <c r="C10" s="26">
        <v>31199</v>
      </c>
      <c r="D10" s="27">
        <v>31199</v>
      </c>
      <c r="E10" s="28">
        <f t="shared" si="0"/>
        <v>1985</v>
      </c>
      <c r="F10" s="29" t="s">
        <v>44</v>
      </c>
      <c r="G10" s="30">
        <v>19067501</v>
      </c>
      <c r="H10" s="30">
        <v>20504886</v>
      </c>
      <c r="I10" s="30">
        <v>19306569</v>
      </c>
      <c r="J10" s="30">
        <v>18103698</v>
      </c>
      <c r="K10" s="30">
        <v>20594572</v>
      </c>
      <c r="L10" s="31">
        <v>18383009</v>
      </c>
      <c r="M10" s="30">
        <v>16028708</v>
      </c>
      <c r="N10" s="30">
        <v>16730961</v>
      </c>
      <c r="O10" s="30">
        <v>15169501</v>
      </c>
      <c r="P10" s="30">
        <v>12129632</v>
      </c>
      <c r="Q10" s="30">
        <v>10554111</v>
      </c>
      <c r="R10" s="30">
        <v>8524715</v>
      </c>
      <c r="S10" s="30">
        <v>7564337</v>
      </c>
      <c r="T10" s="30">
        <v>6394619</v>
      </c>
      <c r="V10" s="47">
        <f t="shared" si="1"/>
        <v>7494557</v>
      </c>
      <c r="W10" s="47">
        <f t="shared" si="2"/>
        <v>6394619</v>
      </c>
    </row>
    <row r="11" spans="1:23" x14ac:dyDescent="0.25">
      <c r="A11" s="24" t="s">
        <v>52</v>
      </c>
      <c r="B11" s="25">
        <v>3558</v>
      </c>
      <c r="C11" s="26">
        <v>31403</v>
      </c>
      <c r="D11" s="27">
        <v>31403</v>
      </c>
      <c r="E11" s="28">
        <f t="shared" si="0"/>
        <v>1985</v>
      </c>
      <c r="F11" s="29" t="s">
        <v>44</v>
      </c>
      <c r="G11" s="30">
        <v>25500366</v>
      </c>
      <c r="H11" s="30">
        <v>24274937</v>
      </c>
      <c r="I11" s="30">
        <v>22480206</v>
      </c>
      <c r="J11" s="30">
        <v>23092551</v>
      </c>
      <c r="K11" s="30">
        <v>23742350</v>
      </c>
      <c r="L11" s="31">
        <v>20996410</v>
      </c>
      <c r="M11" s="30">
        <v>22271522</v>
      </c>
      <c r="N11" s="30">
        <v>18202800</v>
      </c>
      <c r="O11" s="30">
        <v>21565771</v>
      </c>
      <c r="P11" s="30">
        <v>18888210</v>
      </c>
      <c r="Q11" s="30">
        <v>21832979</v>
      </c>
      <c r="R11" s="30">
        <v>22890481</v>
      </c>
      <c r="S11" s="30">
        <v>21367191</v>
      </c>
      <c r="T11" s="30">
        <v>21280064</v>
      </c>
      <c r="V11" s="47">
        <f t="shared" si="1"/>
        <v>21845912</v>
      </c>
      <c r="W11" s="47">
        <f t="shared" si="2"/>
        <v>21280064</v>
      </c>
    </row>
    <row r="12" spans="1:23" x14ac:dyDescent="0.25">
      <c r="A12" s="24" t="s">
        <v>53</v>
      </c>
      <c r="B12" s="25">
        <v>3690</v>
      </c>
      <c r="C12" s="26">
        <v>32115</v>
      </c>
      <c r="D12" s="27">
        <v>32115</v>
      </c>
      <c r="E12" s="28">
        <f t="shared" si="0"/>
        <v>1987</v>
      </c>
      <c r="F12" s="29" t="s">
        <v>44</v>
      </c>
      <c r="G12" s="30">
        <v>28163040</v>
      </c>
      <c r="H12" s="30">
        <v>27899475</v>
      </c>
      <c r="I12" s="30">
        <v>26714123</v>
      </c>
      <c r="J12" s="30">
        <v>25895187</v>
      </c>
      <c r="K12" s="30">
        <v>26851628</v>
      </c>
      <c r="L12" s="31">
        <v>24554035</v>
      </c>
      <c r="M12" s="30">
        <v>25610275</v>
      </c>
      <c r="N12" s="30">
        <v>26369000</v>
      </c>
      <c r="O12" s="30">
        <v>26677698</v>
      </c>
      <c r="P12" s="30">
        <v>26704094</v>
      </c>
      <c r="Q12" s="30">
        <v>23533126</v>
      </c>
      <c r="R12" s="30">
        <v>23180336</v>
      </c>
      <c r="S12" s="30">
        <v>23257630</v>
      </c>
      <c r="T12" s="30">
        <v>18926973</v>
      </c>
      <c r="V12" s="47">
        <f t="shared" si="1"/>
        <v>21788313</v>
      </c>
      <c r="W12" s="47">
        <f t="shared" si="2"/>
        <v>18926973</v>
      </c>
    </row>
    <row r="13" spans="1:23" x14ac:dyDescent="0.25">
      <c r="A13" s="24" t="s">
        <v>54</v>
      </c>
      <c r="B13" s="25">
        <v>3840</v>
      </c>
      <c r="C13" s="26">
        <v>32417</v>
      </c>
      <c r="D13" s="27">
        <v>32417</v>
      </c>
      <c r="E13" s="28">
        <f t="shared" si="0"/>
        <v>1988</v>
      </c>
      <c r="F13" s="29" t="s">
        <v>44</v>
      </c>
      <c r="G13" s="30">
        <v>25648258</v>
      </c>
      <c r="H13" s="30">
        <v>27309297</v>
      </c>
      <c r="I13" s="30">
        <v>26198513</v>
      </c>
      <c r="J13" s="30">
        <v>27012212</v>
      </c>
      <c r="K13" s="30">
        <v>24459162</v>
      </c>
      <c r="L13" s="31">
        <v>25301535</v>
      </c>
      <c r="M13" s="30">
        <v>23183480</v>
      </c>
      <c r="N13" s="30">
        <v>25445952</v>
      </c>
      <c r="O13" s="30">
        <v>21049970</v>
      </c>
      <c r="P13" s="30">
        <v>17186573</v>
      </c>
      <c r="Q13" s="30">
        <v>15106544</v>
      </c>
      <c r="R13" s="30">
        <v>15139746</v>
      </c>
      <c r="S13" s="30">
        <v>15750630</v>
      </c>
      <c r="T13" s="30">
        <v>12464364</v>
      </c>
      <c r="V13" s="47">
        <f t="shared" si="1"/>
        <v>14451580</v>
      </c>
      <c r="W13" s="47">
        <f t="shared" si="2"/>
        <v>12464364</v>
      </c>
    </row>
    <row r="14" spans="1:23" x14ac:dyDescent="0.25">
      <c r="A14" s="24" t="s">
        <v>55</v>
      </c>
      <c r="B14" s="25">
        <v>3807</v>
      </c>
      <c r="C14" s="26">
        <v>35156</v>
      </c>
      <c r="D14" s="27">
        <v>35156</v>
      </c>
      <c r="E14" s="28">
        <f t="shared" si="0"/>
        <v>1996</v>
      </c>
      <c r="F14" s="29" t="s">
        <v>44</v>
      </c>
      <c r="G14" s="30">
        <v>24632585</v>
      </c>
      <c r="H14" s="30">
        <v>25325348</v>
      </c>
      <c r="I14" s="30">
        <v>24781734</v>
      </c>
      <c r="J14" s="30">
        <v>23801048</v>
      </c>
      <c r="K14" s="30">
        <v>22423750</v>
      </c>
      <c r="L14" s="31">
        <v>21187846</v>
      </c>
      <c r="M14" s="30">
        <v>20900760</v>
      </c>
      <c r="N14" s="30">
        <v>24413271</v>
      </c>
      <c r="O14" s="30">
        <v>24154240</v>
      </c>
      <c r="P14" s="30">
        <v>22088772</v>
      </c>
      <c r="Q14" s="30">
        <v>21857835</v>
      </c>
      <c r="R14" s="30">
        <v>19823301</v>
      </c>
      <c r="S14" s="30">
        <v>15540628</v>
      </c>
      <c r="T14" s="30">
        <v>18711767</v>
      </c>
      <c r="V14" s="47">
        <f t="shared" si="1"/>
        <v>18025232</v>
      </c>
      <c r="W14" s="47">
        <f t="shared" si="2"/>
        <v>18711767</v>
      </c>
    </row>
    <row r="15" spans="1:23" x14ac:dyDescent="0.25">
      <c r="A15" s="24" t="s">
        <v>56</v>
      </c>
      <c r="B15" s="25">
        <v>1481</v>
      </c>
      <c r="C15" s="26">
        <v>24685</v>
      </c>
      <c r="D15" s="27">
        <v>38412</v>
      </c>
      <c r="E15" s="28">
        <f t="shared" si="0"/>
        <v>2005</v>
      </c>
      <c r="F15" s="29" t="s">
        <v>44</v>
      </c>
      <c r="G15" s="30">
        <v>7490836</v>
      </c>
      <c r="H15" s="30">
        <v>7267648</v>
      </c>
      <c r="I15" s="30">
        <v>8379789</v>
      </c>
      <c r="J15" s="30">
        <v>8727143</v>
      </c>
      <c r="K15" s="30">
        <v>8336111</v>
      </c>
      <c r="L15" s="31">
        <v>7947972</v>
      </c>
      <c r="M15" s="30">
        <v>7763734</v>
      </c>
      <c r="N15" s="30">
        <v>6777927</v>
      </c>
      <c r="O15" s="30">
        <v>6972647</v>
      </c>
      <c r="P15" s="30">
        <v>5846748</v>
      </c>
      <c r="Q15" s="30">
        <v>2518438</v>
      </c>
      <c r="R15" s="30">
        <v>6670341</v>
      </c>
      <c r="S15" s="30">
        <v>7378745</v>
      </c>
      <c r="T15" s="30">
        <v>7329029</v>
      </c>
      <c r="V15" s="47">
        <f t="shared" si="1"/>
        <v>7126038.333333333</v>
      </c>
      <c r="W15" s="47">
        <f t="shared" si="2"/>
        <v>7329029</v>
      </c>
    </row>
    <row r="16" spans="1:23" x14ac:dyDescent="0.25">
      <c r="A16" s="24" t="s">
        <v>57</v>
      </c>
      <c r="B16" s="25">
        <v>1327</v>
      </c>
      <c r="C16" s="26">
        <v>39142</v>
      </c>
      <c r="D16" s="27">
        <v>39142</v>
      </c>
      <c r="E16" s="28">
        <f t="shared" si="0"/>
        <v>2007</v>
      </c>
      <c r="F16" s="29" t="s">
        <v>44</v>
      </c>
      <c r="G16" s="30">
        <v>130241</v>
      </c>
      <c r="H16" s="30">
        <v>391049</v>
      </c>
      <c r="I16" s="30">
        <v>1225994</v>
      </c>
      <c r="J16" s="30">
        <v>2358259</v>
      </c>
      <c r="K16" s="30">
        <v>2350792</v>
      </c>
      <c r="L16" s="31">
        <v>2503859</v>
      </c>
      <c r="M16" s="30">
        <v>20939</v>
      </c>
      <c r="N16" s="30">
        <v>62963</v>
      </c>
      <c r="O16" s="30">
        <v>788527</v>
      </c>
      <c r="P16" s="30">
        <v>808699</v>
      </c>
      <c r="Q16" s="30">
        <v>703887</v>
      </c>
      <c r="R16" s="30">
        <v>953788</v>
      </c>
      <c r="S16" s="30">
        <v>1332491</v>
      </c>
      <c r="T16" s="30">
        <v>1588583</v>
      </c>
      <c r="V16" s="47">
        <f t="shared" si="1"/>
        <v>1291620.6666666667</v>
      </c>
      <c r="W16" s="47">
        <f t="shared" si="2"/>
        <v>1588583</v>
      </c>
    </row>
    <row r="17" spans="1:23" x14ac:dyDescent="0.25">
      <c r="A17" s="24" t="s">
        <v>58</v>
      </c>
      <c r="B17" s="25">
        <v>740</v>
      </c>
      <c r="C17" s="26">
        <v>39264</v>
      </c>
      <c r="D17" s="27">
        <v>39264</v>
      </c>
      <c r="E17" s="28">
        <f t="shared" si="0"/>
        <v>2007</v>
      </c>
      <c r="F17" s="29" t="s">
        <v>44</v>
      </c>
      <c r="G17" s="30">
        <v>62233</v>
      </c>
      <c r="H17" s="30">
        <v>314651</v>
      </c>
      <c r="I17" s="30">
        <v>657374</v>
      </c>
      <c r="J17" s="30">
        <v>1133246</v>
      </c>
      <c r="K17" s="30">
        <v>1226384</v>
      </c>
      <c r="L17" s="31">
        <v>1307888</v>
      </c>
      <c r="M17" s="30">
        <v>8153</v>
      </c>
      <c r="N17" s="30">
        <v>54496</v>
      </c>
      <c r="O17" s="30">
        <v>409512</v>
      </c>
      <c r="P17" s="30">
        <v>518521</v>
      </c>
      <c r="Q17" s="30">
        <v>749724</v>
      </c>
      <c r="R17" s="30">
        <v>870396</v>
      </c>
      <c r="S17" s="30">
        <v>1681217</v>
      </c>
      <c r="T17" s="30">
        <v>2038316</v>
      </c>
      <c r="V17" s="47">
        <f t="shared" si="1"/>
        <v>1529976.3333333333</v>
      </c>
      <c r="W17" s="47">
        <f t="shared" si="2"/>
        <v>2038316</v>
      </c>
    </row>
    <row r="18" spans="1:23" x14ac:dyDescent="0.25">
      <c r="A18" s="24" t="s">
        <v>59</v>
      </c>
      <c r="B18" s="25">
        <v>570</v>
      </c>
      <c r="C18" s="26">
        <v>25355</v>
      </c>
      <c r="D18" s="27">
        <v>39568</v>
      </c>
      <c r="E18" s="28">
        <f t="shared" si="0"/>
        <v>2008</v>
      </c>
      <c r="F18" s="29" t="s">
        <v>44</v>
      </c>
      <c r="G18" s="30">
        <v>3546952</v>
      </c>
      <c r="H18" s="30">
        <v>6094910</v>
      </c>
      <c r="I18" s="30">
        <v>5491180</v>
      </c>
      <c r="J18" s="30">
        <v>7345967</v>
      </c>
      <c r="K18" s="30">
        <v>6144207</v>
      </c>
      <c r="L18" s="31">
        <v>5273434</v>
      </c>
      <c r="M18" s="30">
        <v>4545234</v>
      </c>
      <c r="N18" s="30">
        <v>3295218</v>
      </c>
      <c r="O18" s="30">
        <v>2703531</v>
      </c>
      <c r="P18" s="30">
        <v>2477795</v>
      </c>
      <c r="Q18" s="30">
        <v>2992859</v>
      </c>
      <c r="R18" s="30">
        <v>2445162</v>
      </c>
      <c r="S18" s="30">
        <v>2416293</v>
      </c>
      <c r="T18" s="30">
        <v>1638696</v>
      </c>
      <c r="V18" s="47">
        <f t="shared" si="1"/>
        <v>2166717</v>
      </c>
      <c r="W18" s="47">
        <f t="shared" si="2"/>
        <v>1638696</v>
      </c>
    </row>
    <row r="19" spans="1:23" x14ac:dyDescent="0.25">
      <c r="A19" s="24" t="s">
        <v>60</v>
      </c>
      <c r="B19" s="25">
        <v>990</v>
      </c>
      <c r="C19" s="26">
        <v>22591</v>
      </c>
      <c r="D19" s="27">
        <v>39903</v>
      </c>
      <c r="E19" s="28">
        <f t="shared" si="0"/>
        <v>2009</v>
      </c>
      <c r="F19" s="29" t="s">
        <v>44</v>
      </c>
      <c r="G19" s="30">
        <v>2060141</v>
      </c>
      <c r="H19" s="30">
        <v>2398132</v>
      </c>
      <c r="I19" s="30">
        <v>4104105</v>
      </c>
      <c r="J19" s="30">
        <v>5059255</v>
      </c>
      <c r="K19" s="30">
        <v>4066079</v>
      </c>
      <c r="L19" s="31">
        <v>4241812</v>
      </c>
      <c r="M19" s="30">
        <v>4123522</v>
      </c>
      <c r="N19" s="30">
        <v>2209493</v>
      </c>
      <c r="O19" s="30">
        <v>2064923</v>
      </c>
      <c r="P19" s="30">
        <v>1581225</v>
      </c>
      <c r="Q19" s="30">
        <v>708862</v>
      </c>
      <c r="R19" s="30">
        <v>608728</v>
      </c>
      <c r="S19" s="30">
        <v>369330</v>
      </c>
      <c r="T19" s="30">
        <v>0</v>
      </c>
      <c r="V19" s="47">
        <f t="shared" si="1"/>
        <v>326019.33333333331</v>
      </c>
      <c r="W19" s="47">
        <f t="shared" si="2"/>
        <v>0</v>
      </c>
    </row>
    <row r="20" spans="1:23" x14ac:dyDescent="0.25">
      <c r="A20" s="24" t="s">
        <v>61</v>
      </c>
      <c r="B20" s="25">
        <v>3600</v>
      </c>
      <c r="C20" s="26">
        <v>42238</v>
      </c>
      <c r="D20" s="27">
        <v>42238</v>
      </c>
      <c r="E20" s="28">
        <f t="shared" si="0"/>
        <v>2015</v>
      </c>
      <c r="F20" s="29" t="s">
        <v>44</v>
      </c>
      <c r="G20" s="33"/>
      <c r="H20" s="33"/>
      <c r="I20" s="33"/>
      <c r="J20" s="33"/>
      <c r="K20" s="33"/>
      <c r="L20" s="33"/>
      <c r="M20" s="30">
        <v>2428262</v>
      </c>
      <c r="N20" s="30">
        <v>4420084</v>
      </c>
      <c r="O20" s="30">
        <v>15518851</v>
      </c>
      <c r="P20" s="30">
        <v>19978963</v>
      </c>
      <c r="Q20" s="30">
        <v>19753895</v>
      </c>
      <c r="R20" s="30">
        <v>22637675</v>
      </c>
      <c r="S20" s="30">
        <v>23246212</v>
      </c>
      <c r="T20" s="30">
        <v>22626444</v>
      </c>
      <c r="V20" s="47">
        <f t="shared" si="1"/>
        <v>22836777</v>
      </c>
      <c r="W20" s="47">
        <f t="shared" si="2"/>
        <v>22626444</v>
      </c>
    </row>
    <row r="21" spans="1:23" x14ac:dyDescent="0.25">
      <c r="A21" s="24" t="s">
        <v>62</v>
      </c>
      <c r="B21" s="25">
        <v>2880</v>
      </c>
      <c r="C21" s="26">
        <v>42977</v>
      </c>
      <c r="D21" s="27">
        <v>42977</v>
      </c>
      <c r="E21" s="28">
        <f t="shared" si="0"/>
        <v>2017</v>
      </c>
      <c r="F21" s="29" t="s">
        <v>44</v>
      </c>
      <c r="G21" s="33"/>
      <c r="H21" s="33"/>
      <c r="I21" s="33"/>
      <c r="J21" s="33"/>
      <c r="K21" s="33"/>
      <c r="L21" s="33"/>
      <c r="M21" s="33"/>
      <c r="N21" s="33"/>
      <c r="O21" s="30">
        <v>3921196</v>
      </c>
      <c r="P21" s="30">
        <v>7487938</v>
      </c>
      <c r="Q21" s="30">
        <v>8553383</v>
      </c>
      <c r="R21" s="30">
        <v>7992189</v>
      </c>
      <c r="S21" s="30">
        <v>9119476</v>
      </c>
      <c r="T21" s="30">
        <v>10262515</v>
      </c>
      <c r="V21" s="47">
        <f t="shared" si="1"/>
        <v>9124726.666666666</v>
      </c>
      <c r="W21" s="47">
        <f t="shared" si="2"/>
        <v>10262515</v>
      </c>
    </row>
    <row r="22" spans="1:23" x14ac:dyDescent="0.25">
      <c r="A22" s="24" t="s">
        <v>92</v>
      </c>
      <c r="B22" s="25">
        <v>3510</v>
      </c>
      <c r="C22" s="26">
        <v>30893</v>
      </c>
      <c r="D22" s="26">
        <v>30893</v>
      </c>
      <c r="E22" s="28">
        <f t="shared" si="0"/>
        <v>1984</v>
      </c>
      <c r="F22" s="29" t="s">
        <v>44</v>
      </c>
      <c r="G22" s="33"/>
      <c r="H22" s="33"/>
      <c r="I22" s="33"/>
      <c r="J22" s="33"/>
      <c r="K22" s="33">
        <f>13794*1000</f>
        <v>13794000</v>
      </c>
      <c r="L22" s="33">
        <f>12237*1000</f>
        <v>12237000</v>
      </c>
      <c r="M22" s="33">
        <f>15026*1000</f>
        <v>15026000</v>
      </c>
      <c r="N22" s="33">
        <f>14193*1000</f>
        <v>14193000</v>
      </c>
      <c r="O22" s="30">
        <f>11580*1000</f>
        <v>11580000</v>
      </c>
      <c r="P22" s="30">
        <f>13252*1000</f>
        <v>13252000</v>
      </c>
      <c r="Q22" s="30">
        <f>9903*1000</f>
        <v>9903000</v>
      </c>
      <c r="R22" s="30">
        <f>12355*1000</f>
        <v>12355000</v>
      </c>
      <c r="S22" s="30">
        <f>9803*1000</f>
        <v>9803000</v>
      </c>
      <c r="T22" s="30">
        <f>8172*1000</f>
        <v>8172000</v>
      </c>
      <c r="U22" s="50" t="s">
        <v>93</v>
      </c>
      <c r="V22" s="47">
        <f t="shared" si="1"/>
        <v>10110000</v>
      </c>
      <c r="W22" s="47">
        <f t="shared" si="2"/>
        <v>8172000</v>
      </c>
    </row>
    <row r="23" spans="1:23" x14ac:dyDescent="0.25">
      <c r="A23" s="24" t="s">
        <v>82</v>
      </c>
      <c r="B23" s="25"/>
      <c r="C23" s="26"/>
      <c r="D23" s="27"/>
      <c r="E23" s="28"/>
      <c r="F23" s="29" t="s">
        <v>44</v>
      </c>
      <c r="G23" s="33"/>
      <c r="H23" s="33"/>
      <c r="I23" s="33"/>
      <c r="J23" s="33"/>
      <c r="K23" s="30">
        <f>10731*1000</f>
        <v>10731000</v>
      </c>
      <c r="L23" s="30">
        <f>9703*1000</f>
        <v>9703000</v>
      </c>
      <c r="M23" s="30">
        <f>7418*1000</f>
        <v>7418000</v>
      </c>
      <c r="N23" s="30">
        <f>7731*1000</f>
        <v>7731000</v>
      </c>
      <c r="O23" s="30">
        <f>7355*1000</f>
        <v>7355000</v>
      </c>
      <c r="P23" s="30">
        <f>8568*1000</f>
        <v>8568000</v>
      </c>
      <c r="Q23" s="30">
        <f>8812*1000</f>
        <v>8812000</v>
      </c>
      <c r="R23" s="30">
        <f>8500*1000</f>
        <v>8500000</v>
      </c>
      <c r="S23" s="30">
        <f>8654*1000</f>
        <v>8654000</v>
      </c>
      <c r="T23" s="30">
        <f>9150*1000</f>
        <v>9150000</v>
      </c>
      <c r="U23" s="50" t="s">
        <v>93</v>
      </c>
      <c r="V23" s="47">
        <f t="shared" si="1"/>
        <v>8768000</v>
      </c>
      <c r="W23" s="47">
        <f t="shared" si="2"/>
        <v>9150000</v>
      </c>
    </row>
    <row r="25" spans="1:23" x14ac:dyDescent="0.25">
      <c r="A25" s="53" t="s">
        <v>100</v>
      </c>
    </row>
    <row r="26" spans="1:23" ht="26.4" x14ac:dyDescent="0.25">
      <c r="A26" s="35" t="s">
        <v>66</v>
      </c>
      <c r="B26" s="36" t="s">
        <v>73</v>
      </c>
      <c r="C26" s="36" t="s">
        <v>42</v>
      </c>
      <c r="D26" s="37" t="s">
        <v>26</v>
      </c>
      <c r="E26" s="37" t="s">
        <v>65</v>
      </c>
      <c r="F26" s="38" t="s">
        <v>28</v>
      </c>
      <c r="G26" s="38" t="s">
        <v>29</v>
      </c>
      <c r="H26" s="38" t="s">
        <v>30</v>
      </c>
      <c r="I26" s="38" t="s">
        <v>31</v>
      </c>
      <c r="J26" s="38" t="s">
        <v>32</v>
      </c>
      <c r="K26" s="38" t="s">
        <v>33</v>
      </c>
      <c r="L26" s="38" t="s">
        <v>34</v>
      </c>
      <c r="M26" s="38" t="s">
        <v>35</v>
      </c>
      <c r="N26" s="38" t="s">
        <v>36</v>
      </c>
      <c r="O26" s="38" t="s">
        <v>37</v>
      </c>
      <c r="P26" s="38" t="s">
        <v>38</v>
      </c>
      <c r="Q26" s="38" t="s">
        <v>39</v>
      </c>
      <c r="R26" s="38" t="s">
        <v>40</v>
      </c>
      <c r="S26" s="38" t="s">
        <v>41</v>
      </c>
      <c r="T26" s="23" t="s">
        <v>228</v>
      </c>
    </row>
    <row r="27" spans="1:23" x14ac:dyDescent="0.25">
      <c r="A27" s="39" t="s">
        <v>43</v>
      </c>
      <c r="B27" s="40">
        <v>1098</v>
      </c>
      <c r="C27" s="26">
        <v>25700</v>
      </c>
      <c r="D27" s="27">
        <v>25700</v>
      </c>
      <c r="E27" s="41" t="s">
        <v>67</v>
      </c>
      <c r="F27" s="42" t="s">
        <v>68</v>
      </c>
      <c r="G27" s="43">
        <v>7139198</v>
      </c>
      <c r="H27" s="44">
        <v>6849996</v>
      </c>
      <c r="I27" s="44">
        <v>5763637</v>
      </c>
      <c r="J27" s="43">
        <v>5323902</v>
      </c>
      <c r="K27" s="44">
        <v>6479235</v>
      </c>
      <c r="L27" s="44">
        <v>4958484</v>
      </c>
      <c r="M27" s="43">
        <v>5365575</v>
      </c>
      <c r="N27" s="43">
        <v>5157302</v>
      </c>
      <c r="O27" s="43">
        <v>4726597</v>
      </c>
      <c r="P27" s="43">
        <v>3072493</v>
      </c>
      <c r="Q27" s="43">
        <v>3024527</v>
      </c>
      <c r="R27" s="43">
        <v>3024981</v>
      </c>
      <c r="S27" s="43">
        <v>1486626</v>
      </c>
      <c r="T27" s="43">
        <v>1426720</v>
      </c>
      <c r="V27" s="47">
        <f t="shared" ref="V27" si="3">AVERAGE(R27:T27)</f>
        <v>1979442.3333333333</v>
      </c>
      <c r="W27" s="47">
        <f t="shared" ref="W27" si="4">T27</f>
        <v>1426720</v>
      </c>
    </row>
    <row r="28" spans="1:23" x14ac:dyDescent="0.25">
      <c r="A28" s="39" t="s">
        <v>43</v>
      </c>
      <c r="B28" s="40"/>
      <c r="C28" s="26"/>
      <c r="D28" s="27"/>
      <c r="E28" s="41" t="s">
        <v>229</v>
      </c>
      <c r="F28" s="42" t="s">
        <v>68</v>
      </c>
      <c r="G28" s="43">
        <v>12995</v>
      </c>
      <c r="H28" s="44">
        <v>13062</v>
      </c>
      <c r="I28" s="44">
        <v>13628</v>
      </c>
      <c r="J28" s="43">
        <v>12883</v>
      </c>
      <c r="K28" s="44">
        <v>21769</v>
      </c>
      <c r="L28" s="44">
        <v>13099</v>
      </c>
      <c r="M28" s="43">
        <v>13696</v>
      </c>
      <c r="N28" s="43">
        <v>23536</v>
      </c>
      <c r="O28" s="43">
        <v>20485</v>
      </c>
      <c r="P28" s="43">
        <v>8331</v>
      </c>
      <c r="Q28" s="43">
        <v>8984</v>
      </c>
      <c r="R28" s="43">
        <v>11013</v>
      </c>
      <c r="S28" s="43">
        <v>12319</v>
      </c>
      <c r="T28" s="43">
        <v>9262</v>
      </c>
      <c r="V28" s="47">
        <f t="shared" ref="V28:V60" si="5">AVERAGE(R28:T28)</f>
        <v>10864.666666666666</v>
      </c>
      <c r="W28" s="47">
        <f t="shared" ref="W28:W60" si="6">T28</f>
        <v>9262</v>
      </c>
    </row>
    <row r="29" spans="1:23" x14ac:dyDescent="0.25">
      <c r="A29" s="39" t="s">
        <v>45</v>
      </c>
      <c r="B29" s="40">
        <v>2100</v>
      </c>
      <c r="C29" s="26">
        <v>26197</v>
      </c>
      <c r="D29" s="27">
        <v>26197</v>
      </c>
      <c r="E29" s="41" t="s">
        <v>67</v>
      </c>
      <c r="F29" s="42" t="s">
        <v>68</v>
      </c>
      <c r="G29" s="43">
        <v>6525670</v>
      </c>
      <c r="H29" s="44">
        <v>7035460</v>
      </c>
      <c r="I29" s="44">
        <v>6705593</v>
      </c>
      <c r="J29" s="43">
        <v>6066013</v>
      </c>
      <c r="K29" s="44">
        <v>5595389</v>
      </c>
      <c r="L29" s="44">
        <v>5864921</v>
      </c>
      <c r="M29" s="43">
        <v>9278888</v>
      </c>
      <c r="N29" s="43">
        <v>5576596</v>
      </c>
      <c r="O29" s="43">
        <v>5905158</v>
      </c>
      <c r="P29" s="43">
        <v>5967087</v>
      </c>
      <c r="Q29" s="43">
        <v>5663126</v>
      </c>
      <c r="R29" s="43">
        <v>5186766</v>
      </c>
      <c r="S29" s="43">
        <v>4293316</v>
      </c>
      <c r="T29" s="43">
        <v>4828094</v>
      </c>
      <c r="V29" s="47">
        <f t="shared" si="5"/>
        <v>4769392</v>
      </c>
      <c r="W29" s="47">
        <f t="shared" si="6"/>
        <v>4828094</v>
      </c>
    </row>
    <row r="30" spans="1:23" x14ac:dyDescent="0.25">
      <c r="A30" s="39" t="s">
        <v>45</v>
      </c>
      <c r="B30" s="40"/>
      <c r="C30" s="26"/>
      <c r="D30" s="27"/>
      <c r="E30" s="41" t="s">
        <v>229</v>
      </c>
      <c r="F30" s="42" t="s">
        <v>68</v>
      </c>
      <c r="G30" s="43">
        <v>14485</v>
      </c>
      <c r="H30" s="44">
        <v>19746</v>
      </c>
      <c r="I30" s="44">
        <v>16701</v>
      </c>
      <c r="J30" s="43">
        <v>36795</v>
      </c>
      <c r="K30" s="44">
        <v>23347</v>
      </c>
      <c r="L30" s="44">
        <v>15812</v>
      </c>
      <c r="M30" s="43">
        <v>13481</v>
      </c>
      <c r="N30" s="43">
        <v>16719</v>
      </c>
      <c r="O30" s="43">
        <v>44126</v>
      </c>
      <c r="P30" s="43">
        <v>33241</v>
      </c>
      <c r="Q30" s="43">
        <v>29554</v>
      </c>
      <c r="R30" s="43">
        <v>39812</v>
      </c>
      <c r="S30" s="43">
        <v>41497</v>
      </c>
      <c r="T30" s="43">
        <v>46635</v>
      </c>
      <c r="V30" s="47">
        <f t="shared" si="5"/>
        <v>42648</v>
      </c>
      <c r="W30" s="47">
        <f t="shared" si="6"/>
        <v>46635</v>
      </c>
    </row>
    <row r="31" spans="1:23" x14ac:dyDescent="0.25">
      <c r="A31" s="39" t="s">
        <v>46</v>
      </c>
      <c r="B31" s="40">
        <v>2640</v>
      </c>
      <c r="C31" s="26">
        <v>27886</v>
      </c>
      <c r="D31" s="27">
        <v>27886</v>
      </c>
      <c r="E31" s="41" t="s">
        <v>67</v>
      </c>
      <c r="F31" s="42" t="s">
        <v>68</v>
      </c>
      <c r="G31" s="43">
        <v>9527185</v>
      </c>
      <c r="H31" s="44">
        <v>8360504</v>
      </c>
      <c r="I31" s="44">
        <v>8902897</v>
      </c>
      <c r="J31" s="43">
        <v>8147633</v>
      </c>
      <c r="K31" s="44">
        <v>7841257</v>
      </c>
      <c r="L31" s="44">
        <v>8643898</v>
      </c>
      <c r="M31" s="43">
        <v>8095662</v>
      </c>
      <c r="N31" s="43">
        <v>6562760</v>
      </c>
      <c r="O31" s="43">
        <v>7546103</v>
      </c>
      <c r="P31" s="43">
        <v>8368544</v>
      </c>
      <c r="Q31" s="43">
        <v>6694760</v>
      </c>
      <c r="R31" s="43">
        <v>7838445</v>
      </c>
      <c r="S31" s="43">
        <v>6865127</v>
      </c>
      <c r="T31" s="43">
        <v>5183313</v>
      </c>
      <c r="V31" s="47">
        <f t="shared" si="5"/>
        <v>6628961.666666667</v>
      </c>
      <c r="W31" s="47">
        <f t="shared" si="6"/>
        <v>5183313</v>
      </c>
    </row>
    <row r="32" spans="1:23" x14ac:dyDescent="0.25">
      <c r="A32" s="39" t="s">
        <v>46</v>
      </c>
      <c r="B32" s="40"/>
      <c r="C32" s="26"/>
      <c r="D32" s="27"/>
      <c r="E32" s="41" t="s">
        <v>229</v>
      </c>
      <c r="F32" s="42" t="s">
        <v>68</v>
      </c>
      <c r="G32" s="43">
        <v>18264</v>
      </c>
      <c r="H32" s="44">
        <v>15907</v>
      </c>
      <c r="I32" s="44">
        <v>21124</v>
      </c>
      <c r="J32" s="43">
        <v>34546</v>
      </c>
      <c r="K32" s="44">
        <v>31442</v>
      </c>
      <c r="L32" s="44">
        <v>41966</v>
      </c>
      <c r="M32" s="43">
        <v>25204</v>
      </c>
      <c r="N32" s="43">
        <v>35558</v>
      </c>
      <c r="O32" s="43">
        <v>25511</v>
      </c>
      <c r="P32" s="43">
        <v>56098</v>
      </c>
      <c r="Q32" s="43">
        <v>46839</v>
      </c>
      <c r="R32" s="43">
        <v>47351</v>
      </c>
      <c r="S32" s="43">
        <v>47431</v>
      </c>
      <c r="T32" s="43">
        <v>56540</v>
      </c>
      <c r="V32" s="47">
        <f t="shared" si="5"/>
        <v>50440.666666666664</v>
      </c>
      <c r="W32" s="47">
        <f t="shared" si="6"/>
        <v>56540</v>
      </c>
    </row>
    <row r="33" spans="1:23" x14ac:dyDescent="0.25">
      <c r="A33" s="39" t="s">
        <v>47</v>
      </c>
      <c r="B33" s="40">
        <v>171</v>
      </c>
      <c r="C33" s="26">
        <v>27893</v>
      </c>
      <c r="D33" s="27">
        <v>27893</v>
      </c>
      <c r="E33" s="41" t="s">
        <v>78</v>
      </c>
      <c r="F33" s="42" t="s">
        <v>70</v>
      </c>
      <c r="G33" s="43">
        <v>444957</v>
      </c>
      <c r="H33" s="44">
        <v>462819</v>
      </c>
      <c r="I33" s="44">
        <v>3601410</v>
      </c>
      <c r="J33" s="43">
        <v>20141569</v>
      </c>
      <c r="K33" s="44">
        <v>24854691</v>
      </c>
      <c r="L33" s="44">
        <v>19959065</v>
      </c>
      <c r="M33" s="43">
        <v>76067</v>
      </c>
      <c r="N33" s="45">
        <v>73044</v>
      </c>
      <c r="O33" s="43">
        <v>623086</v>
      </c>
      <c r="P33" s="43">
        <v>215321</v>
      </c>
      <c r="Q33" s="43">
        <v>553684</v>
      </c>
      <c r="R33" s="43">
        <v>350693</v>
      </c>
      <c r="S33" s="43">
        <v>414371</v>
      </c>
      <c r="T33" s="43">
        <v>936177</v>
      </c>
      <c r="V33" s="47">
        <f t="shared" si="5"/>
        <v>567080.33333333337</v>
      </c>
      <c r="W33" s="47">
        <f t="shared" si="6"/>
        <v>936177</v>
      </c>
    </row>
    <row r="34" spans="1:23" x14ac:dyDescent="0.25">
      <c r="A34" s="39" t="s">
        <v>48</v>
      </c>
      <c r="B34" s="40">
        <v>171</v>
      </c>
      <c r="C34" s="26">
        <v>28033</v>
      </c>
      <c r="D34" s="27">
        <v>28033</v>
      </c>
      <c r="E34" s="41" t="s">
        <v>78</v>
      </c>
      <c r="F34" s="42" t="s">
        <v>70</v>
      </c>
      <c r="G34" s="43">
        <v>281941</v>
      </c>
      <c r="H34" s="44">
        <v>828014</v>
      </c>
      <c r="I34" s="44">
        <v>4010155</v>
      </c>
      <c r="J34" s="43">
        <v>26036230</v>
      </c>
      <c r="K34" s="44">
        <v>23797797</v>
      </c>
      <c r="L34" s="44">
        <v>24233625</v>
      </c>
      <c r="M34" s="43">
        <v>36879</v>
      </c>
      <c r="N34" s="45">
        <v>45978</v>
      </c>
      <c r="O34" s="43">
        <v>664742</v>
      </c>
      <c r="P34" s="43">
        <v>176175</v>
      </c>
      <c r="Q34" s="43">
        <v>615307</v>
      </c>
      <c r="R34" s="43">
        <v>364144</v>
      </c>
      <c r="S34" s="43">
        <v>1093406</v>
      </c>
      <c r="T34" s="43">
        <v>1458236</v>
      </c>
      <c r="V34" s="47">
        <f t="shared" si="5"/>
        <v>971928.66666666663</v>
      </c>
      <c r="W34" s="47">
        <f t="shared" si="6"/>
        <v>1458236</v>
      </c>
    </row>
    <row r="35" spans="1:23" x14ac:dyDescent="0.25">
      <c r="A35" s="39" t="s">
        <v>49</v>
      </c>
      <c r="B35" s="40">
        <v>3450</v>
      </c>
      <c r="C35" s="26">
        <v>29127</v>
      </c>
      <c r="D35" s="27">
        <v>29127</v>
      </c>
      <c r="E35" s="41" t="s">
        <v>67</v>
      </c>
      <c r="F35" s="42" t="s">
        <v>68</v>
      </c>
      <c r="G35" s="43">
        <v>12155421</v>
      </c>
      <c r="H35" s="44">
        <v>11367521</v>
      </c>
      <c r="I35" s="44">
        <v>12069357</v>
      </c>
      <c r="J35" s="43">
        <v>10076382</v>
      </c>
      <c r="K35" s="44">
        <v>11482829</v>
      </c>
      <c r="L35" s="44">
        <v>11649395</v>
      </c>
      <c r="M35" s="43">
        <v>10941541</v>
      </c>
      <c r="N35" s="43">
        <v>11339063</v>
      </c>
      <c r="O35" s="43">
        <v>10870747</v>
      </c>
      <c r="P35" s="43">
        <v>11287436</v>
      </c>
      <c r="Q35" s="43">
        <v>10694976</v>
      </c>
      <c r="R35" s="43">
        <v>10842908</v>
      </c>
      <c r="S35" s="43">
        <v>9536046</v>
      </c>
      <c r="T35" s="43">
        <v>10147328</v>
      </c>
      <c r="V35" s="47">
        <f t="shared" si="5"/>
        <v>10175427.333333334</v>
      </c>
      <c r="W35" s="47">
        <f t="shared" si="6"/>
        <v>10147328</v>
      </c>
    </row>
    <row r="36" spans="1:23" x14ac:dyDescent="0.25">
      <c r="A36" s="39" t="s">
        <v>49</v>
      </c>
      <c r="B36" s="40"/>
      <c r="C36" s="26"/>
      <c r="D36" s="27"/>
      <c r="E36" s="41" t="s">
        <v>229</v>
      </c>
      <c r="F36" s="42" t="s">
        <v>68</v>
      </c>
      <c r="G36" s="43">
        <v>8337</v>
      </c>
      <c r="H36" s="44">
        <v>7451</v>
      </c>
      <c r="I36" s="44">
        <v>8203</v>
      </c>
      <c r="J36" s="43">
        <v>9032</v>
      </c>
      <c r="K36" s="44">
        <v>9706</v>
      </c>
      <c r="L36" s="44">
        <v>8452</v>
      </c>
      <c r="M36" s="43">
        <v>8115</v>
      </c>
      <c r="N36" s="43">
        <v>11000</v>
      </c>
      <c r="O36" s="43">
        <v>17147</v>
      </c>
      <c r="P36" s="43">
        <v>18667</v>
      </c>
      <c r="Q36" s="43">
        <v>11125</v>
      </c>
      <c r="R36" s="43">
        <v>10737</v>
      </c>
      <c r="S36" s="43">
        <v>22639</v>
      </c>
      <c r="T36" s="43">
        <v>19578</v>
      </c>
      <c r="V36" s="47">
        <f t="shared" si="5"/>
        <v>17651.333333333332</v>
      </c>
      <c r="W36" s="47">
        <f t="shared" si="6"/>
        <v>19578</v>
      </c>
    </row>
    <row r="37" spans="1:23" x14ac:dyDescent="0.25">
      <c r="A37" s="39" t="s">
        <v>50</v>
      </c>
      <c r="B37" s="40">
        <v>2875</v>
      </c>
      <c r="C37" s="26">
        <v>29238</v>
      </c>
      <c r="D37" s="27">
        <v>29238</v>
      </c>
      <c r="E37" s="41" t="s">
        <v>67</v>
      </c>
      <c r="F37" s="42" t="s">
        <v>68</v>
      </c>
      <c r="G37" s="43">
        <v>10639393</v>
      </c>
      <c r="H37" s="44">
        <v>9154172</v>
      </c>
      <c r="I37" s="44">
        <v>9108411</v>
      </c>
      <c r="J37" s="43">
        <v>9741615</v>
      </c>
      <c r="K37" s="44">
        <v>7260002</v>
      </c>
      <c r="L37" s="44">
        <v>7599737</v>
      </c>
      <c r="M37" s="43">
        <v>8487411</v>
      </c>
      <c r="N37" s="43">
        <v>6882384</v>
      </c>
      <c r="O37" s="43">
        <v>6160222</v>
      </c>
      <c r="P37" s="43">
        <v>6215362</v>
      </c>
      <c r="Q37" s="43">
        <v>6581000</v>
      </c>
      <c r="R37" s="43">
        <v>5732195</v>
      </c>
      <c r="S37" s="43">
        <v>5428210</v>
      </c>
      <c r="T37" s="43">
        <v>6802842</v>
      </c>
      <c r="V37" s="47">
        <f t="shared" si="5"/>
        <v>5987749</v>
      </c>
      <c r="W37" s="47">
        <f t="shared" si="6"/>
        <v>6802842</v>
      </c>
    </row>
    <row r="38" spans="1:23" x14ac:dyDescent="0.25">
      <c r="A38" s="39" t="s">
        <v>50</v>
      </c>
      <c r="B38" s="40"/>
      <c r="C38" s="26"/>
      <c r="D38" s="27"/>
      <c r="E38" s="41" t="s">
        <v>229</v>
      </c>
      <c r="F38" s="42" t="s">
        <v>68</v>
      </c>
      <c r="G38" s="43">
        <v>26959</v>
      </c>
      <c r="H38" s="44">
        <v>21312</v>
      </c>
      <c r="I38" s="44">
        <v>30792</v>
      </c>
      <c r="J38" s="43">
        <v>40471</v>
      </c>
      <c r="K38" s="44">
        <v>33625</v>
      </c>
      <c r="L38" s="44">
        <v>44711</v>
      </c>
      <c r="M38" s="43">
        <v>27419</v>
      </c>
      <c r="N38" s="43">
        <v>26020</v>
      </c>
      <c r="O38" s="43">
        <v>42027</v>
      </c>
      <c r="P38" s="43">
        <v>57229</v>
      </c>
      <c r="Q38" s="43">
        <v>35570</v>
      </c>
      <c r="R38" s="43">
        <v>35245</v>
      </c>
      <c r="S38" s="43">
        <v>48518</v>
      </c>
      <c r="T38" s="43">
        <v>72479</v>
      </c>
      <c r="V38" s="47">
        <f t="shared" si="5"/>
        <v>52080.666666666664</v>
      </c>
      <c r="W38" s="47">
        <f t="shared" si="6"/>
        <v>72479</v>
      </c>
    </row>
    <row r="39" spans="1:23" x14ac:dyDescent="0.25">
      <c r="A39" s="39" t="s">
        <v>51</v>
      </c>
      <c r="B39" s="40">
        <v>3510</v>
      </c>
      <c r="C39" s="26">
        <v>31199</v>
      </c>
      <c r="D39" s="27">
        <v>31199</v>
      </c>
      <c r="E39" s="41" t="s">
        <v>67</v>
      </c>
      <c r="F39" s="42" t="s">
        <v>68</v>
      </c>
      <c r="G39" s="43">
        <v>10191709</v>
      </c>
      <c r="H39" s="44">
        <v>11368184</v>
      </c>
      <c r="I39" s="44">
        <v>10963012</v>
      </c>
      <c r="J39" s="43">
        <v>10663894</v>
      </c>
      <c r="K39" s="44">
        <v>11598592</v>
      </c>
      <c r="L39" s="44">
        <v>10448003</v>
      </c>
      <c r="M39" s="43">
        <v>9278888</v>
      </c>
      <c r="N39" s="43">
        <v>9423368</v>
      </c>
      <c r="O39" s="43">
        <v>9076800</v>
      </c>
      <c r="P39" s="43">
        <v>7504792</v>
      </c>
      <c r="Q39" s="43">
        <v>6697281</v>
      </c>
      <c r="R39" s="43">
        <v>5510214</v>
      </c>
      <c r="S39" s="43">
        <v>4697013</v>
      </c>
      <c r="T39" s="43">
        <v>3879070</v>
      </c>
      <c r="V39" s="47">
        <f t="shared" si="5"/>
        <v>4695432.333333333</v>
      </c>
      <c r="W39" s="47">
        <f t="shared" si="6"/>
        <v>3879070</v>
      </c>
    </row>
    <row r="40" spans="1:23" x14ac:dyDescent="0.25">
      <c r="A40" s="39" t="s">
        <v>51</v>
      </c>
      <c r="B40" s="40"/>
      <c r="C40" s="26"/>
      <c r="D40" s="27"/>
      <c r="E40" s="41" t="s">
        <v>229</v>
      </c>
      <c r="F40" s="42" t="s">
        <v>68</v>
      </c>
      <c r="G40" s="43">
        <v>28250</v>
      </c>
      <c r="H40" s="44">
        <v>22560</v>
      </c>
      <c r="I40" s="44">
        <v>37005</v>
      </c>
      <c r="J40" s="43">
        <v>55291</v>
      </c>
      <c r="K40" s="44">
        <v>38924</v>
      </c>
      <c r="L40" s="44">
        <v>39376</v>
      </c>
      <c r="M40" s="43">
        <v>63459</v>
      </c>
      <c r="N40" s="43">
        <v>40946</v>
      </c>
      <c r="O40" s="43">
        <v>69158</v>
      </c>
      <c r="P40" s="43">
        <v>117651</v>
      </c>
      <c r="Q40" s="43">
        <v>160599</v>
      </c>
      <c r="R40" s="43">
        <v>98619</v>
      </c>
      <c r="S40" s="43">
        <v>73522</v>
      </c>
      <c r="T40" s="43">
        <v>62137</v>
      </c>
      <c r="V40" s="47">
        <f t="shared" si="5"/>
        <v>78092.666666666672</v>
      </c>
      <c r="W40" s="47">
        <f t="shared" si="6"/>
        <v>62137</v>
      </c>
    </row>
    <row r="41" spans="1:23" x14ac:dyDescent="0.25">
      <c r="A41" s="39" t="s">
        <v>52</v>
      </c>
      <c r="B41" s="40">
        <v>3558</v>
      </c>
      <c r="C41" s="26">
        <v>31403</v>
      </c>
      <c r="D41" s="27">
        <v>31403</v>
      </c>
      <c r="E41" s="41" t="s">
        <v>67</v>
      </c>
      <c r="F41" s="42" t="s">
        <v>68</v>
      </c>
      <c r="G41" s="43">
        <v>17774699</v>
      </c>
      <c r="H41" s="44">
        <v>17293334</v>
      </c>
      <c r="I41" s="44">
        <v>15981404</v>
      </c>
      <c r="J41" s="43">
        <v>16317957</v>
      </c>
      <c r="K41" s="44">
        <v>16206472</v>
      </c>
      <c r="L41" s="44">
        <v>14941989</v>
      </c>
      <c r="M41" s="43">
        <v>15591930</v>
      </c>
      <c r="N41" s="43">
        <v>12794434</v>
      </c>
      <c r="O41" s="43">
        <v>15075576</v>
      </c>
      <c r="P41" s="43">
        <v>12972178</v>
      </c>
      <c r="Q41" s="43">
        <v>15158029</v>
      </c>
      <c r="R41" s="43">
        <v>16277939</v>
      </c>
      <c r="S41" s="43">
        <v>15646686</v>
      </c>
      <c r="T41" s="43">
        <v>16048047</v>
      </c>
      <c r="V41" s="47">
        <f t="shared" si="5"/>
        <v>15990890.666666666</v>
      </c>
      <c r="W41" s="47">
        <f t="shared" si="6"/>
        <v>16048047</v>
      </c>
    </row>
    <row r="42" spans="1:23" x14ac:dyDescent="0.25">
      <c r="A42" s="39" t="s">
        <v>52</v>
      </c>
      <c r="B42" s="40"/>
      <c r="C42" s="26"/>
      <c r="D42" s="27"/>
      <c r="E42" s="41" t="s">
        <v>229</v>
      </c>
      <c r="F42" s="42" t="s">
        <v>68</v>
      </c>
      <c r="G42" s="43">
        <v>5858</v>
      </c>
      <c r="H42" s="44">
        <v>6084</v>
      </c>
      <c r="I42" s="44">
        <v>6681</v>
      </c>
      <c r="J42" s="43">
        <v>7212</v>
      </c>
      <c r="K42" s="44">
        <v>7788</v>
      </c>
      <c r="L42" s="44">
        <v>7643</v>
      </c>
      <c r="M42" s="43">
        <v>7963</v>
      </c>
      <c r="N42" s="43">
        <v>7967</v>
      </c>
      <c r="O42" s="43">
        <v>9015</v>
      </c>
      <c r="P42" s="43">
        <v>7815</v>
      </c>
      <c r="Q42" s="43">
        <v>9283</v>
      </c>
      <c r="R42" s="43">
        <v>10312</v>
      </c>
      <c r="S42" s="43">
        <v>13608</v>
      </c>
      <c r="T42" s="43">
        <v>13252</v>
      </c>
      <c r="V42" s="47">
        <f t="shared" si="5"/>
        <v>12390.666666666666</v>
      </c>
      <c r="W42" s="47">
        <f t="shared" si="6"/>
        <v>13252</v>
      </c>
    </row>
    <row r="43" spans="1:23" x14ac:dyDescent="0.25">
      <c r="A43" s="39" t="s">
        <v>53</v>
      </c>
      <c r="B43" s="40">
        <v>3690</v>
      </c>
      <c r="C43" s="26">
        <v>32115</v>
      </c>
      <c r="D43" s="27">
        <v>32115</v>
      </c>
      <c r="E43" s="41" t="s">
        <v>67</v>
      </c>
      <c r="F43" s="42" t="s">
        <v>68</v>
      </c>
      <c r="G43" s="43">
        <v>14596842</v>
      </c>
      <c r="H43" s="44">
        <v>14953397</v>
      </c>
      <c r="I43" s="44">
        <v>14269648</v>
      </c>
      <c r="J43" s="43">
        <v>13911050</v>
      </c>
      <c r="K43" s="44">
        <v>14226673</v>
      </c>
      <c r="L43" s="44">
        <v>12718092</v>
      </c>
      <c r="M43" s="43">
        <v>13227588</v>
      </c>
      <c r="N43" s="43">
        <v>13867656</v>
      </c>
      <c r="O43" s="43">
        <v>14074592</v>
      </c>
      <c r="P43" s="43">
        <v>14064165</v>
      </c>
      <c r="Q43" s="43">
        <v>12938911</v>
      </c>
      <c r="R43" s="43">
        <v>13430751</v>
      </c>
      <c r="S43" s="43">
        <v>13179578</v>
      </c>
      <c r="T43" s="43">
        <v>10674314</v>
      </c>
      <c r="V43" s="47">
        <f t="shared" si="5"/>
        <v>12428214.333333334</v>
      </c>
      <c r="W43" s="47">
        <f t="shared" si="6"/>
        <v>10674314</v>
      </c>
    </row>
    <row r="44" spans="1:23" x14ac:dyDescent="0.25">
      <c r="A44" s="39" t="s">
        <v>53</v>
      </c>
      <c r="B44" s="40"/>
      <c r="C44" s="26"/>
      <c r="D44" s="27"/>
      <c r="E44" s="41" t="s">
        <v>229</v>
      </c>
      <c r="F44" s="42" t="s">
        <v>68</v>
      </c>
      <c r="G44" s="43">
        <v>4371</v>
      </c>
      <c r="H44" s="44">
        <v>4375</v>
      </c>
      <c r="I44" s="44">
        <v>5420</v>
      </c>
      <c r="J44" s="43">
        <v>3828</v>
      </c>
      <c r="K44" s="44">
        <v>5942</v>
      </c>
      <c r="L44" s="44">
        <v>5136</v>
      </c>
      <c r="M44" s="43">
        <v>6568</v>
      </c>
      <c r="N44" s="43">
        <v>4688</v>
      </c>
      <c r="O44" s="43">
        <v>3778</v>
      </c>
      <c r="P44" s="43">
        <v>6321</v>
      </c>
      <c r="Q44" s="43">
        <v>8168</v>
      </c>
      <c r="R44" s="43">
        <v>13185</v>
      </c>
      <c r="S44" s="43">
        <v>9929</v>
      </c>
      <c r="T44" s="43">
        <v>18715</v>
      </c>
      <c r="V44" s="47">
        <f t="shared" si="5"/>
        <v>13943</v>
      </c>
      <c r="W44" s="47">
        <f t="shared" si="6"/>
        <v>18715</v>
      </c>
    </row>
    <row r="45" spans="1:23" x14ac:dyDescent="0.25">
      <c r="A45" s="39" t="s">
        <v>54</v>
      </c>
      <c r="B45" s="40">
        <v>3840</v>
      </c>
      <c r="C45" s="26">
        <v>32417</v>
      </c>
      <c r="D45" s="27">
        <v>32417</v>
      </c>
      <c r="E45" s="41" t="s">
        <v>67</v>
      </c>
      <c r="F45" s="42" t="s">
        <v>68</v>
      </c>
      <c r="G45" s="43">
        <v>15174501</v>
      </c>
      <c r="H45" s="44">
        <v>15938407</v>
      </c>
      <c r="I45" s="44">
        <v>15386155</v>
      </c>
      <c r="J45" s="43">
        <v>16190242</v>
      </c>
      <c r="K45" s="44">
        <v>14028640</v>
      </c>
      <c r="L45" s="44">
        <v>14813213</v>
      </c>
      <c r="M45" s="43">
        <v>13606766</v>
      </c>
      <c r="N45" s="43">
        <v>16010832</v>
      </c>
      <c r="O45" s="43">
        <v>13354702</v>
      </c>
      <c r="P45" s="43">
        <v>11290796</v>
      </c>
      <c r="Q45" s="43">
        <v>9272316</v>
      </c>
      <c r="R45" s="43">
        <v>9362475</v>
      </c>
      <c r="S45" s="43">
        <v>9395998</v>
      </c>
      <c r="T45" s="43">
        <v>7712146</v>
      </c>
      <c r="V45" s="47">
        <f t="shared" si="5"/>
        <v>8823539.666666666</v>
      </c>
      <c r="W45" s="47">
        <f t="shared" si="6"/>
        <v>7712146</v>
      </c>
    </row>
    <row r="46" spans="1:23" x14ac:dyDescent="0.25">
      <c r="A46" s="39" t="s">
        <v>54</v>
      </c>
      <c r="B46" s="40"/>
      <c r="C46" s="26"/>
      <c r="D46" s="27"/>
      <c r="E46" s="41" t="s">
        <v>229</v>
      </c>
      <c r="F46" s="42" t="s">
        <v>68</v>
      </c>
      <c r="G46" s="43">
        <v>3601</v>
      </c>
      <c r="H46" s="44">
        <v>3030</v>
      </c>
      <c r="I46" s="44">
        <v>4735</v>
      </c>
      <c r="J46" s="43">
        <v>7364</v>
      </c>
      <c r="K46" s="44">
        <v>8154</v>
      </c>
      <c r="L46" s="44">
        <v>6982</v>
      </c>
      <c r="M46" s="43">
        <v>8737</v>
      </c>
      <c r="N46" s="43">
        <v>9712</v>
      </c>
      <c r="O46" s="43">
        <v>24503</v>
      </c>
      <c r="P46" s="43">
        <v>21050</v>
      </c>
      <c r="Q46" s="43">
        <v>20320</v>
      </c>
      <c r="R46" s="43">
        <v>34004</v>
      </c>
      <c r="S46" s="43">
        <v>73937</v>
      </c>
      <c r="T46" s="43">
        <v>113212</v>
      </c>
      <c r="V46" s="47">
        <f t="shared" si="5"/>
        <v>73717.666666666672</v>
      </c>
      <c r="W46" s="47">
        <f t="shared" si="6"/>
        <v>113212</v>
      </c>
    </row>
    <row r="47" spans="1:23" x14ac:dyDescent="0.25">
      <c r="A47" s="39" t="s">
        <v>55</v>
      </c>
      <c r="B47" s="40">
        <v>3807</v>
      </c>
      <c r="C47" s="26">
        <v>35156</v>
      </c>
      <c r="D47" s="27">
        <v>35156</v>
      </c>
      <c r="E47" s="41" t="s">
        <v>67</v>
      </c>
      <c r="F47" s="42" t="s">
        <v>68</v>
      </c>
      <c r="G47" s="43">
        <v>13020512</v>
      </c>
      <c r="H47" s="44">
        <v>13529252</v>
      </c>
      <c r="I47" s="44">
        <v>13269678</v>
      </c>
      <c r="J47" s="43">
        <v>13087805</v>
      </c>
      <c r="K47" s="44">
        <v>12938389</v>
      </c>
      <c r="L47" s="44">
        <v>11457000</v>
      </c>
      <c r="M47" s="43">
        <v>11676494</v>
      </c>
      <c r="N47" s="43">
        <v>13612463</v>
      </c>
      <c r="O47" s="43">
        <v>13696673</v>
      </c>
      <c r="P47" s="43">
        <v>12282372</v>
      </c>
      <c r="Q47" s="43">
        <v>12773092</v>
      </c>
      <c r="R47" s="43">
        <v>11924693</v>
      </c>
      <c r="S47" s="43">
        <v>9831151</v>
      </c>
      <c r="T47" s="43">
        <v>11304146</v>
      </c>
      <c r="V47" s="47">
        <f t="shared" si="5"/>
        <v>11019996.666666666</v>
      </c>
      <c r="W47" s="47">
        <f t="shared" si="6"/>
        <v>11304146</v>
      </c>
    </row>
    <row r="48" spans="1:23" x14ac:dyDescent="0.25">
      <c r="A48" s="39" t="s">
        <v>55</v>
      </c>
      <c r="B48" s="40"/>
      <c r="C48" s="26"/>
      <c r="D48" s="27"/>
      <c r="E48" s="41" t="s">
        <v>229</v>
      </c>
      <c r="F48" s="42" t="s">
        <v>68</v>
      </c>
      <c r="G48" s="43">
        <v>31950</v>
      </c>
      <c r="H48" s="44">
        <v>24628</v>
      </c>
      <c r="I48" s="44">
        <v>22388</v>
      </c>
      <c r="J48" s="43">
        <v>25907</v>
      </c>
      <c r="K48" s="44">
        <v>45179</v>
      </c>
      <c r="L48" s="44">
        <v>53781</v>
      </c>
      <c r="M48" s="43">
        <v>56792</v>
      </c>
      <c r="N48" s="43">
        <v>45884</v>
      </c>
      <c r="O48" s="43">
        <v>47367</v>
      </c>
      <c r="P48" s="43">
        <v>59198</v>
      </c>
      <c r="Q48" s="43">
        <v>47415</v>
      </c>
      <c r="R48" s="43">
        <v>107591</v>
      </c>
      <c r="S48" s="43">
        <v>153361</v>
      </c>
      <c r="T48" s="43">
        <v>19808</v>
      </c>
      <c r="V48" s="47">
        <f t="shared" si="5"/>
        <v>93586.666666666672</v>
      </c>
      <c r="W48" s="47">
        <f t="shared" si="6"/>
        <v>19808</v>
      </c>
    </row>
    <row r="49" spans="1:23" x14ac:dyDescent="0.25">
      <c r="A49" s="39" t="s">
        <v>56</v>
      </c>
      <c r="B49" s="40">
        <v>1481</v>
      </c>
      <c r="C49" s="26">
        <v>24685</v>
      </c>
      <c r="D49" s="27">
        <v>38412</v>
      </c>
      <c r="E49" s="41" t="s">
        <v>67</v>
      </c>
      <c r="F49" s="42" t="s">
        <v>68</v>
      </c>
      <c r="G49" s="43">
        <v>4629763</v>
      </c>
      <c r="H49" s="44">
        <v>4329462</v>
      </c>
      <c r="I49" s="44">
        <v>8379789</v>
      </c>
      <c r="J49" s="43">
        <v>5297913</v>
      </c>
      <c r="K49" s="44">
        <v>5074264</v>
      </c>
      <c r="L49" s="44">
        <v>4560670</v>
      </c>
      <c r="M49" s="43">
        <v>4492749</v>
      </c>
      <c r="N49" s="43">
        <v>3932882</v>
      </c>
      <c r="O49" s="43">
        <v>4444025</v>
      </c>
      <c r="P49" s="43">
        <v>3277297</v>
      </c>
      <c r="Q49" s="43">
        <v>1569620</v>
      </c>
      <c r="R49" s="43">
        <v>3932224</v>
      </c>
      <c r="S49" s="43">
        <v>4129344</v>
      </c>
      <c r="T49" s="43">
        <v>4402710</v>
      </c>
      <c r="V49" s="47">
        <f t="shared" si="5"/>
        <v>4154759.3333333335</v>
      </c>
      <c r="W49" s="47">
        <f t="shared" si="6"/>
        <v>4402710</v>
      </c>
    </row>
    <row r="50" spans="1:23" x14ac:dyDescent="0.25">
      <c r="A50" s="39" t="s">
        <v>56</v>
      </c>
      <c r="B50" s="40"/>
      <c r="C50" s="26"/>
      <c r="D50" s="27"/>
      <c r="E50" s="41" t="s">
        <v>229</v>
      </c>
      <c r="F50" s="42" t="s">
        <v>68</v>
      </c>
      <c r="G50" s="43">
        <v>19657</v>
      </c>
      <c r="H50" s="44">
        <v>25084</v>
      </c>
      <c r="I50" s="44">
        <v>18317</v>
      </c>
      <c r="J50" s="43">
        <v>22257</v>
      </c>
      <c r="K50" s="44">
        <v>19831</v>
      </c>
      <c r="L50" s="44">
        <v>25189</v>
      </c>
      <c r="M50" s="43">
        <v>33928</v>
      </c>
      <c r="N50" s="43">
        <v>21374</v>
      </c>
      <c r="O50" s="43">
        <v>40177</v>
      </c>
      <c r="P50" s="43">
        <v>41806</v>
      </c>
      <c r="Q50" s="43">
        <v>16979</v>
      </c>
      <c r="R50" s="43">
        <v>50673</v>
      </c>
      <c r="S50" s="43">
        <v>51602</v>
      </c>
      <c r="T50" s="43">
        <v>56731</v>
      </c>
      <c r="V50" s="47">
        <f t="shared" si="5"/>
        <v>53002</v>
      </c>
      <c r="W50" s="47">
        <f t="shared" si="6"/>
        <v>56731</v>
      </c>
    </row>
    <row r="51" spans="1:23" x14ac:dyDescent="0.25">
      <c r="A51" s="39" t="s">
        <v>57</v>
      </c>
      <c r="B51" s="40">
        <v>1327</v>
      </c>
      <c r="C51" s="26">
        <v>39142</v>
      </c>
      <c r="D51" s="27">
        <v>39142</v>
      </c>
      <c r="E51" s="41" t="s">
        <v>78</v>
      </c>
      <c r="F51" s="42" t="s">
        <v>70</v>
      </c>
      <c r="G51" s="43">
        <v>41305580</v>
      </c>
      <c r="H51" s="44">
        <v>121853656</v>
      </c>
      <c r="I51" s="44">
        <v>392200263</v>
      </c>
      <c r="J51" s="43">
        <v>742556464</v>
      </c>
      <c r="K51" s="44">
        <v>755437407</v>
      </c>
      <c r="L51" s="44">
        <v>792571059</v>
      </c>
      <c r="M51" s="43">
        <v>6423930</v>
      </c>
      <c r="N51" s="43">
        <v>19299663</v>
      </c>
      <c r="O51" s="43">
        <v>226778222</v>
      </c>
      <c r="P51" s="43">
        <v>258091711</v>
      </c>
      <c r="Q51" s="43">
        <v>222416419</v>
      </c>
      <c r="R51" s="43">
        <v>300686482</v>
      </c>
      <c r="S51" s="43">
        <v>418610227</v>
      </c>
      <c r="T51" s="43">
        <v>507827227</v>
      </c>
      <c r="V51" s="47">
        <f t="shared" si="5"/>
        <v>409041312</v>
      </c>
      <c r="W51" s="47">
        <f t="shared" si="6"/>
        <v>507827227</v>
      </c>
    </row>
    <row r="52" spans="1:23" x14ac:dyDescent="0.25">
      <c r="A52" s="39" t="s">
        <v>58</v>
      </c>
      <c r="B52" s="40">
        <v>740</v>
      </c>
      <c r="C52" s="26">
        <v>39264</v>
      </c>
      <c r="D52" s="27">
        <v>39264</v>
      </c>
      <c r="E52" s="41" t="s">
        <v>78</v>
      </c>
      <c r="F52" s="42" t="s">
        <v>70</v>
      </c>
      <c r="G52" s="43">
        <v>19144089</v>
      </c>
      <c r="H52" s="44">
        <v>96165992</v>
      </c>
      <c r="I52" s="44">
        <v>202234462</v>
      </c>
      <c r="J52" s="43">
        <v>342045029</v>
      </c>
      <c r="K52" s="44">
        <v>371048048</v>
      </c>
      <c r="L52" s="44">
        <v>408210722</v>
      </c>
      <c r="M52" s="43">
        <v>3632735</v>
      </c>
      <c r="N52" s="43">
        <v>16980038</v>
      </c>
      <c r="O52" s="43">
        <v>126036667</v>
      </c>
      <c r="P52" s="43">
        <v>158609543</v>
      </c>
      <c r="Q52" s="43">
        <v>235006567</v>
      </c>
      <c r="R52" s="43">
        <v>269555564</v>
      </c>
      <c r="S52" s="43">
        <v>515526621</v>
      </c>
      <c r="T52" s="43">
        <v>622893869</v>
      </c>
      <c r="V52" s="47">
        <f t="shared" si="5"/>
        <v>469325351.33333331</v>
      </c>
      <c r="W52" s="47">
        <f t="shared" si="6"/>
        <v>622893869</v>
      </c>
    </row>
    <row r="53" spans="1:23" x14ac:dyDescent="0.25">
      <c r="A53" s="39" t="s">
        <v>59</v>
      </c>
      <c r="B53" s="40">
        <v>570</v>
      </c>
      <c r="C53" s="26">
        <v>25355</v>
      </c>
      <c r="D53" s="27">
        <v>39568</v>
      </c>
      <c r="E53" s="41" t="s">
        <v>67</v>
      </c>
      <c r="F53" s="42" t="s">
        <v>68</v>
      </c>
      <c r="G53" s="43">
        <v>2132979</v>
      </c>
      <c r="H53" s="44">
        <v>3821963</v>
      </c>
      <c r="I53" s="44">
        <v>5491180</v>
      </c>
      <c r="J53" s="43">
        <v>4613355</v>
      </c>
      <c r="K53" s="44">
        <v>3964825</v>
      </c>
      <c r="L53" s="44">
        <v>3293564</v>
      </c>
      <c r="M53" s="43">
        <v>2821309</v>
      </c>
      <c r="N53" s="43">
        <v>2080497</v>
      </c>
      <c r="O53" s="43">
        <v>1635454</v>
      </c>
      <c r="P53" s="43">
        <v>1673929</v>
      </c>
      <c r="Q53" s="43">
        <v>1938931</v>
      </c>
      <c r="R53" s="43">
        <v>1544269</v>
      </c>
      <c r="S53" s="43">
        <v>1518602</v>
      </c>
      <c r="T53" s="43">
        <v>1064085</v>
      </c>
      <c r="V53" s="47">
        <f t="shared" si="5"/>
        <v>1375652</v>
      </c>
      <c r="W53" s="47">
        <f t="shared" si="6"/>
        <v>1064085</v>
      </c>
    </row>
    <row r="54" spans="1:23" x14ac:dyDescent="0.25">
      <c r="A54" s="39" t="s">
        <v>59</v>
      </c>
      <c r="B54" s="40"/>
      <c r="C54" s="26"/>
      <c r="D54" s="27"/>
      <c r="E54" s="41" t="s">
        <v>229</v>
      </c>
      <c r="F54" s="42" t="s">
        <v>68</v>
      </c>
      <c r="G54" s="43">
        <v>31121</v>
      </c>
      <c r="H54" s="44">
        <v>34912</v>
      </c>
      <c r="I54" s="44">
        <v>22593</v>
      </c>
      <c r="J54" s="43">
        <v>36363</v>
      </c>
      <c r="K54" s="44">
        <v>39748</v>
      </c>
      <c r="L54" s="44">
        <v>30375</v>
      </c>
      <c r="M54" s="43">
        <v>35008</v>
      </c>
      <c r="N54" s="43">
        <v>18259</v>
      </c>
      <c r="O54" s="43">
        <v>17801</v>
      </c>
      <c r="P54" s="43">
        <v>22434</v>
      </c>
      <c r="Q54" s="43">
        <v>18246</v>
      </c>
      <c r="R54" s="43">
        <v>38483</v>
      </c>
      <c r="S54" s="43">
        <v>59904</v>
      </c>
      <c r="T54" s="43">
        <v>12594</v>
      </c>
      <c r="V54" s="47">
        <f t="shared" si="5"/>
        <v>36993.666666666664</v>
      </c>
      <c r="W54" s="47">
        <f t="shared" si="6"/>
        <v>12594</v>
      </c>
    </row>
    <row r="55" spans="1:23" x14ac:dyDescent="0.25">
      <c r="A55" s="39" t="s">
        <v>60</v>
      </c>
      <c r="B55" s="40">
        <v>990</v>
      </c>
      <c r="C55" s="26">
        <v>22591</v>
      </c>
      <c r="D55" s="27">
        <v>39903</v>
      </c>
      <c r="E55" s="41" t="s">
        <v>67</v>
      </c>
      <c r="F55" s="42" t="s">
        <v>68</v>
      </c>
      <c r="G55" s="43">
        <v>1271010</v>
      </c>
      <c r="H55" s="44">
        <v>1390186</v>
      </c>
      <c r="I55" s="44">
        <v>4104105</v>
      </c>
      <c r="J55" s="43">
        <v>2979546</v>
      </c>
      <c r="K55" s="44">
        <v>2482388</v>
      </c>
      <c r="L55" s="44">
        <v>2494856</v>
      </c>
      <c r="M55" s="43">
        <v>2499772</v>
      </c>
      <c r="N55" s="43">
        <v>1431455</v>
      </c>
      <c r="O55" s="43">
        <v>1213163</v>
      </c>
      <c r="P55" s="43">
        <v>896134</v>
      </c>
      <c r="Q55" s="43">
        <v>402289</v>
      </c>
      <c r="R55" s="43">
        <v>335833</v>
      </c>
      <c r="S55" s="43">
        <v>197954</v>
      </c>
      <c r="T55" s="43">
        <v>0</v>
      </c>
      <c r="V55" s="47">
        <f t="shared" si="5"/>
        <v>177929</v>
      </c>
      <c r="W55" s="47">
        <f t="shared" si="6"/>
        <v>0</v>
      </c>
    </row>
    <row r="56" spans="1:23" x14ac:dyDescent="0.25">
      <c r="A56" s="39" t="s">
        <v>60</v>
      </c>
      <c r="B56" s="40"/>
      <c r="C56" s="26"/>
      <c r="D56" s="27"/>
      <c r="E56" s="41" t="s">
        <v>229</v>
      </c>
      <c r="F56" s="42" t="s">
        <v>68</v>
      </c>
      <c r="G56" s="43">
        <v>10614</v>
      </c>
      <c r="H56" s="44">
        <v>9508</v>
      </c>
      <c r="I56" s="44">
        <v>14497</v>
      </c>
      <c r="J56" s="43">
        <v>32123</v>
      </c>
      <c r="K56" s="44">
        <v>18927</v>
      </c>
      <c r="L56" s="44">
        <v>42234</v>
      </c>
      <c r="M56" s="43">
        <v>38112</v>
      </c>
      <c r="N56" s="43">
        <v>31815</v>
      </c>
      <c r="O56" s="43">
        <v>32218</v>
      </c>
      <c r="P56" s="43">
        <v>9182</v>
      </c>
      <c r="Q56" s="43">
        <v>2083</v>
      </c>
      <c r="R56" s="43">
        <v>1700</v>
      </c>
      <c r="S56" s="43">
        <v>800</v>
      </c>
      <c r="T56" s="43">
        <v>0</v>
      </c>
      <c r="V56" s="47">
        <f t="shared" si="5"/>
        <v>833.33333333333337</v>
      </c>
      <c r="W56" s="47">
        <f t="shared" si="6"/>
        <v>0</v>
      </c>
    </row>
    <row r="57" spans="1:23" x14ac:dyDescent="0.25">
      <c r="A57" s="39" t="s">
        <v>61</v>
      </c>
      <c r="B57" s="40">
        <v>3600</v>
      </c>
      <c r="C57" s="26">
        <v>42238</v>
      </c>
      <c r="D57" s="27">
        <v>42239</v>
      </c>
      <c r="E57" s="41" t="s">
        <v>67</v>
      </c>
      <c r="F57" s="42" t="s">
        <v>68</v>
      </c>
      <c r="G57" s="46"/>
      <c r="H57" s="46"/>
      <c r="I57" s="46"/>
      <c r="J57" s="46"/>
      <c r="K57" s="46"/>
      <c r="L57" s="46"/>
      <c r="M57" s="43">
        <v>1139577</v>
      </c>
      <c r="N57" s="45">
        <v>2241474</v>
      </c>
      <c r="O57" s="43">
        <v>6917765</v>
      </c>
      <c r="P57" s="43">
        <v>10023631</v>
      </c>
      <c r="Q57" s="43">
        <v>9763379</v>
      </c>
      <c r="R57" s="43">
        <v>11351788</v>
      </c>
      <c r="S57" s="43">
        <v>11181866</v>
      </c>
      <c r="T57" s="43">
        <v>11065548</v>
      </c>
      <c r="V57" s="47">
        <f t="shared" si="5"/>
        <v>11199734</v>
      </c>
      <c r="W57" s="47">
        <f t="shared" si="6"/>
        <v>11065548</v>
      </c>
    </row>
    <row r="58" spans="1:23" x14ac:dyDescent="0.25">
      <c r="A58" s="39" t="s">
        <v>61</v>
      </c>
      <c r="B58" s="40"/>
      <c r="C58" s="26"/>
      <c r="D58" s="27"/>
      <c r="E58" s="41" t="s">
        <v>229</v>
      </c>
      <c r="F58" s="42" t="s">
        <v>68</v>
      </c>
      <c r="G58" s="46"/>
      <c r="H58" s="46"/>
      <c r="I58" s="46"/>
      <c r="J58" s="46"/>
      <c r="K58" s="46"/>
      <c r="L58" s="46"/>
      <c r="M58" s="43">
        <v>28186</v>
      </c>
      <c r="N58" s="45">
        <v>3811</v>
      </c>
      <c r="O58" s="43">
        <v>47987</v>
      </c>
      <c r="P58" s="43">
        <v>52356</v>
      </c>
      <c r="Q58" s="43">
        <v>35784</v>
      </c>
      <c r="R58" s="43">
        <v>35442</v>
      </c>
      <c r="S58" s="43">
        <v>18065</v>
      </c>
      <c r="T58" s="43">
        <v>20489</v>
      </c>
      <c r="V58" s="47">
        <f t="shared" si="5"/>
        <v>24665.333333333332</v>
      </c>
      <c r="W58" s="47">
        <f t="shared" si="6"/>
        <v>20489</v>
      </c>
    </row>
    <row r="59" spans="1:23" x14ac:dyDescent="0.25">
      <c r="A59" s="39" t="s">
        <v>62</v>
      </c>
      <c r="B59" s="40">
        <v>2880</v>
      </c>
      <c r="C59" s="26">
        <v>42977</v>
      </c>
      <c r="D59" s="27">
        <v>42977</v>
      </c>
      <c r="E59" s="41" t="s">
        <v>67</v>
      </c>
      <c r="F59" s="42" t="s">
        <v>68</v>
      </c>
      <c r="G59" s="46"/>
      <c r="H59" s="46"/>
      <c r="I59" s="46"/>
      <c r="J59" s="46"/>
      <c r="K59" s="46"/>
      <c r="L59" s="46"/>
      <c r="M59" s="46"/>
      <c r="N59" s="46"/>
      <c r="O59" s="43">
        <v>2147434</v>
      </c>
      <c r="P59" s="43">
        <v>4621851</v>
      </c>
      <c r="Q59" s="43">
        <v>5047912</v>
      </c>
      <c r="R59" s="43">
        <v>4783403</v>
      </c>
      <c r="S59" s="43">
        <v>5035930</v>
      </c>
      <c r="T59" s="43">
        <v>5481821</v>
      </c>
      <c r="V59" s="47">
        <f t="shared" si="5"/>
        <v>5100384.666666667</v>
      </c>
      <c r="W59" s="47">
        <f t="shared" si="6"/>
        <v>5481821</v>
      </c>
    </row>
    <row r="60" spans="1:23" x14ac:dyDescent="0.25">
      <c r="A60" s="39" t="s">
        <v>62</v>
      </c>
      <c r="B60" s="40"/>
      <c r="C60" s="26"/>
      <c r="D60" s="27"/>
      <c r="E60" s="41" t="s">
        <v>229</v>
      </c>
      <c r="F60" s="42" t="s">
        <v>68</v>
      </c>
      <c r="G60" s="46"/>
      <c r="H60" s="46"/>
      <c r="I60" s="46"/>
      <c r="J60" s="46"/>
      <c r="K60" s="46"/>
      <c r="L60" s="46"/>
      <c r="M60" s="46"/>
      <c r="N60" s="46"/>
      <c r="O60" s="43">
        <v>29830</v>
      </c>
      <c r="P60" s="43">
        <v>38962</v>
      </c>
      <c r="Q60" s="43">
        <v>28243</v>
      </c>
      <c r="R60" s="43">
        <v>39817</v>
      </c>
      <c r="S60" s="43">
        <v>16870</v>
      </c>
      <c r="T60" s="43">
        <v>26640</v>
      </c>
      <c r="V60" s="47">
        <f t="shared" si="5"/>
        <v>27775.666666666668</v>
      </c>
      <c r="W60" s="47">
        <f t="shared" si="6"/>
        <v>26640</v>
      </c>
    </row>
    <row r="62" spans="1:23" x14ac:dyDescent="0.25">
      <c r="A62" s="53" t="s">
        <v>101</v>
      </c>
    </row>
    <row r="63" spans="1:23" ht="26.4" x14ac:dyDescent="0.25">
      <c r="A63" s="35" t="s">
        <v>66</v>
      </c>
      <c r="B63" s="36" t="s">
        <v>73</v>
      </c>
      <c r="C63" s="36" t="s">
        <v>42</v>
      </c>
      <c r="D63" s="37" t="s">
        <v>26</v>
      </c>
      <c r="E63" s="37" t="s">
        <v>65</v>
      </c>
      <c r="F63" s="38" t="s">
        <v>28</v>
      </c>
      <c r="G63" s="38" t="s">
        <v>29</v>
      </c>
      <c r="H63" s="38" t="s">
        <v>30</v>
      </c>
      <c r="I63" s="38" t="s">
        <v>31</v>
      </c>
      <c r="J63" s="38" t="s">
        <v>32</v>
      </c>
      <c r="K63" s="38" t="s">
        <v>33</v>
      </c>
      <c r="L63" s="38" t="s">
        <v>34</v>
      </c>
      <c r="M63" s="38" t="s">
        <v>35</v>
      </c>
      <c r="N63" s="38" t="s">
        <v>36</v>
      </c>
      <c r="O63" s="38" t="s">
        <v>37</v>
      </c>
      <c r="P63" s="38" t="s">
        <v>38</v>
      </c>
      <c r="Q63" s="38" t="s">
        <v>39</v>
      </c>
      <c r="R63" s="38" t="s">
        <v>40</v>
      </c>
      <c r="S63" s="38" t="s">
        <v>41</v>
      </c>
      <c r="T63" s="23" t="s">
        <v>228</v>
      </c>
    </row>
    <row r="64" spans="1:23" x14ac:dyDescent="0.25">
      <c r="A64" s="39" t="s">
        <v>43</v>
      </c>
      <c r="B64" s="40">
        <v>1098</v>
      </c>
      <c r="C64" s="26">
        <v>25700</v>
      </c>
      <c r="D64" s="27">
        <v>25700</v>
      </c>
      <c r="E64" s="41" t="s">
        <v>67</v>
      </c>
      <c r="F64" s="42" t="s">
        <v>76</v>
      </c>
      <c r="G64" s="43">
        <f>G27*_xlfn.XLOOKUP($E64,'Emission Factors'!$A$12:$A$14,'Emission Factors'!$B$12:$B$14,0,0,1)*_xlfn.XLOOKUP($E64,'Emission Factors'!$A$21:$A$23,'Emission Factors'!$B$21:$B$23,0,0,1)/1000000</f>
        <v>13238403.183443239</v>
      </c>
      <c r="H64" s="43">
        <f>H27*_xlfn.XLOOKUP($E64,'Emission Factors'!$A$12:$A$14,'Emission Factors'!$B$12:$B$14,0,0,1)*_xlfn.XLOOKUP($E64,'Emission Factors'!$A$21:$A$23,'Emission Factors'!$B$21:$B$23,0,0,1)/1000000</f>
        <v>12702128.285694478</v>
      </c>
      <c r="I64" s="43">
        <f>I27*_xlfn.XLOOKUP($E64,'Emission Factors'!$A$12:$A$14,'Emission Factors'!$B$12:$B$14,0,0,1)*_xlfn.XLOOKUP($E64,'Emission Factors'!$A$21:$A$23,'Emission Factors'!$B$21:$B$23,0,0,1)/1000000</f>
        <v>10687664.133844059</v>
      </c>
      <c r="J64" s="43">
        <f>J27*_xlfn.XLOOKUP($E64,'Emission Factors'!$A$12:$A$14,'Emission Factors'!$B$12:$B$14,0,0,1)*_xlfn.XLOOKUP($E64,'Emission Factors'!$A$21:$A$23,'Emission Factors'!$B$21:$B$23,0,0,1)/1000000</f>
        <v>9872251.9231347572</v>
      </c>
      <c r="K64" s="43">
        <f>K27*_xlfn.XLOOKUP($E64,'Emission Factors'!$A$12:$A$14,'Emission Factors'!$B$12:$B$14,0,0,1)*_xlfn.XLOOKUP($E64,'Emission Factors'!$A$21:$A$23,'Emission Factors'!$B$21:$B$23,0,0,1)/1000000</f>
        <v>12014616.382719299</v>
      </c>
      <c r="L64" s="43">
        <f>L27*_xlfn.XLOOKUP($E64,'Emission Factors'!$A$12:$A$14,'Emission Factors'!$B$12:$B$14,0,0,1)*_xlfn.XLOOKUP($E64,'Emission Factors'!$A$21:$A$23,'Emission Factors'!$B$21:$B$23,0,0,1)/1000000</f>
        <v>9194647.6860079207</v>
      </c>
      <c r="M64" s="43">
        <f>M27*_xlfn.XLOOKUP($E64,'Emission Factors'!$A$12:$A$14,'Emission Factors'!$B$12:$B$14,0,0,1)*_xlfn.XLOOKUP($E64,'Emission Factors'!$A$21:$A$23,'Emission Factors'!$B$21:$B$23,0,0,1)/1000000</f>
        <v>9949527.2663685009</v>
      </c>
      <c r="N64" s="43">
        <f>N27*_xlfn.XLOOKUP($E64,'Emission Factors'!$A$12:$A$14,'Emission Factors'!$B$12:$B$14,0,0,1)*_xlfn.XLOOKUP($E64,'Emission Factors'!$A$21:$A$23,'Emission Factors'!$B$21:$B$23,0,0,1)/1000000</f>
        <v>9563321.1482267585</v>
      </c>
      <c r="O64" s="43">
        <f>O27*_xlfn.XLOOKUP($E64,'Emission Factors'!$A$12:$A$14,'Emission Factors'!$B$12:$B$14,0,0,1)*_xlfn.XLOOKUP($E64,'Emission Factors'!$A$21:$A$23,'Emission Factors'!$B$21:$B$23,0,0,1)/1000000</f>
        <v>8764653.5047288593</v>
      </c>
      <c r="P64" s="43">
        <f>P27*_xlfn.XLOOKUP($E64,'Emission Factors'!$A$12:$A$14,'Emission Factors'!$B$12:$B$14,0,0,1)*_xlfn.XLOOKUP($E64,'Emission Factors'!$A$21:$A$23,'Emission Factors'!$B$21:$B$23,0,0,1)/1000000</f>
        <v>5697404.82226534</v>
      </c>
      <c r="Q64" s="43">
        <f>Q27*_xlfn.XLOOKUP($E64,'Emission Factors'!$A$12:$A$14,'Emission Factors'!$B$12:$B$14,0,0,1)*_xlfn.XLOOKUP($E64,'Emission Factors'!$A$21:$A$23,'Emission Factors'!$B$21:$B$23,0,0,1)/1000000</f>
        <v>5608460.20312226</v>
      </c>
      <c r="R64" s="43">
        <f>R27*_xlfn.XLOOKUP($E64,'Emission Factors'!$A$12:$A$14,'Emission Factors'!$B$12:$B$14,0,0,1)*_xlfn.XLOOKUP($E64,'Emission Factors'!$A$21:$A$23,'Emission Factors'!$B$21:$B$23,0,0,1)/1000000</f>
        <v>5609302.0672987793</v>
      </c>
      <c r="S64" s="43">
        <f>S27*_xlfn.XLOOKUP($E64,'Emission Factors'!$A$12:$A$14,'Emission Factors'!$B$12:$B$14,0,0,1)*_xlfn.XLOOKUP($E64,'Emission Factors'!$A$21:$A$23,'Emission Factors'!$B$21:$B$23,0,0,1)/1000000</f>
        <v>2756689.8089938797</v>
      </c>
      <c r="T64" s="43">
        <f>T27*_xlfn.XLOOKUP($E64,'Emission Factors'!$A$12:$A$14,'Emission Factors'!$B$12:$B$14,0,0,1)*_xlfn.XLOOKUP($E64,'Emission Factors'!$A$21:$A$23,'Emission Factors'!$B$21:$B$23,0,0,1)/1000000</f>
        <v>2645604.5328735998</v>
      </c>
      <c r="V64" s="47">
        <f t="shared" ref="V64" si="7">AVERAGE(R64:T64)</f>
        <v>3670532.1363887526</v>
      </c>
      <c r="W64" s="47">
        <f t="shared" ref="W64" si="8">T64</f>
        <v>2645604.5328735998</v>
      </c>
    </row>
    <row r="65" spans="1:23" x14ac:dyDescent="0.25">
      <c r="A65" s="39" t="s">
        <v>43</v>
      </c>
      <c r="B65" s="40"/>
      <c r="C65" s="26"/>
      <c r="D65" s="27"/>
      <c r="E65" s="41" t="s">
        <v>229</v>
      </c>
      <c r="F65" s="42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>
        <f>T28*_xlfn.XLOOKUP($E65,'Emission Factors'!$A$12:$A$14,'Emission Factors'!$B$12:$B$14,0,0,1)*_xlfn.XLOOKUP($E65,'Emission Factors'!$A$21:$A$23,'Emission Factors'!$B$21:$B$23,0,0,1)/1000000</f>
        <v>30825.788400000005</v>
      </c>
      <c r="V65" s="47">
        <f t="shared" ref="V65:V97" si="9">AVERAGE(R65:T65)</f>
        <v>30825.788400000005</v>
      </c>
      <c r="W65" s="47">
        <f t="shared" ref="W65:W97" si="10">T65</f>
        <v>30825.788400000005</v>
      </c>
    </row>
    <row r="66" spans="1:23" x14ac:dyDescent="0.25">
      <c r="A66" s="39" t="s">
        <v>45</v>
      </c>
      <c r="B66" s="40">
        <v>2100</v>
      </c>
      <c r="C66" s="26">
        <v>26197</v>
      </c>
      <c r="D66" s="27">
        <v>26197</v>
      </c>
      <c r="E66" s="41" t="s">
        <v>67</v>
      </c>
      <c r="F66" s="42" t="s">
        <v>76</v>
      </c>
      <c r="G66" s="43">
        <f>G29*_xlfn.XLOOKUP($E66,'Emission Factors'!$A$12:$A$14,'Emission Factors'!$B$12:$B$14,0,0,1)*_xlfn.XLOOKUP($E66,'Emission Factors'!$A$21:$A$23,'Emission Factors'!$B$21:$B$23,0,0,1)/1000000</f>
        <v>12100722.0281746</v>
      </c>
      <c r="H66" s="43">
        <f>H29*_xlfn.XLOOKUP($E66,'Emission Factors'!$A$12:$A$14,'Emission Factors'!$B$12:$B$14,0,0,1)*_xlfn.XLOOKUP($E66,'Emission Factors'!$A$21:$A$23,'Emission Factors'!$B$21:$B$23,0,0,1)/1000000</f>
        <v>13046039.073434798</v>
      </c>
      <c r="I66" s="43">
        <f>I29*_xlfn.XLOOKUP($E66,'Emission Factors'!$A$12:$A$14,'Emission Factors'!$B$12:$B$14,0,0,1)*_xlfn.XLOOKUP($E66,'Emission Factors'!$A$21:$A$23,'Emission Factors'!$B$21:$B$23,0,0,1)/1000000</f>
        <v>12434357.993443338</v>
      </c>
      <c r="J66" s="43">
        <f>J29*_xlfn.XLOOKUP($E66,'Emission Factors'!$A$12:$A$14,'Emission Factors'!$B$12:$B$14,0,0,1)*_xlfn.XLOOKUP($E66,'Emission Factors'!$A$21:$A$23,'Emission Factors'!$B$21:$B$23,0,0,1)/1000000</f>
        <v>11248367.927322939</v>
      </c>
      <c r="K66" s="43">
        <f>K29*_xlfn.XLOOKUP($E66,'Emission Factors'!$A$12:$A$14,'Emission Factors'!$B$12:$B$14,0,0,1)*_xlfn.XLOOKUP($E66,'Emission Factors'!$A$21:$A$23,'Emission Factors'!$B$21:$B$23,0,0,1)/1000000</f>
        <v>10375677.429061819</v>
      </c>
      <c r="L66" s="43">
        <f>L29*_xlfn.XLOOKUP($E66,'Emission Factors'!$A$12:$A$14,'Emission Factors'!$B$12:$B$14,0,0,1)*_xlfn.XLOOKUP($E66,'Emission Factors'!$A$21:$A$23,'Emission Factors'!$B$21:$B$23,0,0,1)/1000000</f>
        <v>10875477.72691598</v>
      </c>
      <c r="M66" s="43">
        <f>M29*_xlfn.XLOOKUP($E66,'Emission Factors'!$A$12:$A$14,'Emission Factors'!$B$12:$B$14,0,0,1)*_xlfn.XLOOKUP($E66,'Emission Factors'!$A$21:$A$23,'Emission Factors'!$B$21:$B$23,0,0,1)/1000000</f>
        <v>17206086.795465436</v>
      </c>
      <c r="N66" s="43">
        <f>N29*_xlfn.XLOOKUP($E66,'Emission Factors'!$A$12:$A$14,'Emission Factors'!$B$12:$B$14,0,0,1)*_xlfn.XLOOKUP($E66,'Emission Factors'!$A$21:$A$23,'Emission Factors'!$B$21:$B$23,0,0,1)/1000000</f>
        <v>10340829.073402481</v>
      </c>
      <c r="O66" s="43">
        <f>O29*_xlfn.XLOOKUP($E66,'Emission Factors'!$A$12:$A$14,'Emission Factors'!$B$12:$B$14,0,0,1)*_xlfn.XLOOKUP($E66,'Emission Factors'!$A$21:$A$23,'Emission Factors'!$B$21:$B$23,0,0,1)/1000000</f>
        <v>10950090.257468039</v>
      </c>
      <c r="P66" s="43">
        <f>P29*_xlfn.XLOOKUP($E66,'Emission Factors'!$A$12:$A$14,'Emission Factors'!$B$12:$B$14,0,0,1)*_xlfn.XLOOKUP($E66,'Emission Factors'!$A$21:$A$23,'Emission Factors'!$B$21:$B$23,0,0,1)/1000000</f>
        <v>11064926.835855059</v>
      </c>
      <c r="Q66" s="43">
        <f>Q29*_xlfn.XLOOKUP($E66,'Emission Factors'!$A$12:$A$14,'Emission Factors'!$B$12:$B$14,0,0,1)*_xlfn.XLOOKUP($E66,'Emission Factors'!$A$21:$A$23,'Emission Factors'!$B$21:$B$23,0,0,1)/1000000</f>
        <v>10501283.935063878</v>
      </c>
      <c r="R66" s="43">
        <f>R29*_xlfn.XLOOKUP($E66,'Emission Factors'!$A$12:$A$14,'Emission Factors'!$B$12:$B$14,0,0,1)*_xlfn.XLOOKUP($E66,'Emission Factors'!$A$21:$A$23,'Emission Factors'!$B$21:$B$23,0,0,1)/1000000</f>
        <v>9617957.0206870809</v>
      </c>
      <c r="S66" s="43">
        <f>S29*_xlfn.XLOOKUP($E66,'Emission Factors'!$A$12:$A$14,'Emission Factors'!$B$12:$B$14,0,0,1)*_xlfn.XLOOKUP($E66,'Emission Factors'!$A$21:$A$23,'Emission Factors'!$B$21:$B$23,0,0,1)/1000000</f>
        <v>7961209.1164760804</v>
      </c>
      <c r="T66" s="43">
        <f>T29*_xlfn.XLOOKUP($E66,'Emission Factors'!$A$12:$A$14,'Emission Factors'!$B$12:$B$14,0,0,1)*_xlfn.XLOOKUP($E66,'Emission Factors'!$A$21:$A$23,'Emission Factors'!$B$21:$B$23,0,0,1)/1000000</f>
        <v>8952862.0693197194</v>
      </c>
      <c r="V66" s="47">
        <f t="shared" si="9"/>
        <v>8844009.4021609593</v>
      </c>
      <c r="W66" s="47">
        <f t="shared" si="10"/>
        <v>8952862.0693197194</v>
      </c>
    </row>
    <row r="67" spans="1:23" x14ac:dyDescent="0.25">
      <c r="A67" s="39" t="s">
        <v>45</v>
      </c>
      <c r="B67" s="40"/>
      <c r="C67" s="26"/>
      <c r="D67" s="27"/>
      <c r="E67" s="41" t="s">
        <v>229</v>
      </c>
      <c r="F67" s="42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>
        <f>T30*_xlfn.XLOOKUP($E67,'Emission Factors'!$A$12:$A$14,'Emission Factors'!$B$12:$B$14,0,0,1)*_xlfn.XLOOKUP($E67,'Emission Factors'!$A$21:$A$23,'Emission Factors'!$B$21:$B$23,0,0,1)/1000000</f>
        <v>155210.60699999999</v>
      </c>
      <c r="V67" s="47">
        <f t="shared" si="9"/>
        <v>155210.60699999999</v>
      </c>
      <c r="W67" s="47">
        <f t="shared" si="10"/>
        <v>155210.60699999999</v>
      </c>
    </row>
    <row r="68" spans="1:23" x14ac:dyDescent="0.25">
      <c r="A68" s="39" t="s">
        <v>46</v>
      </c>
      <c r="B68" s="40">
        <v>2640</v>
      </c>
      <c r="C68" s="26">
        <v>27886</v>
      </c>
      <c r="D68" s="27">
        <v>27886</v>
      </c>
      <c r="E68" s="41" t="s">
        <v>67</v>
      </c>
      <c r="F68" s="42" t="s">
        <v>76</v>
      </c>
      <c r="G68" s="43">
        <f>G31*_xlfn.XLOOKUP($E68,'Emission Factors'!$A$12:$A$14,'Emission Factors'!$B$12:$B$14,0,0,1)*_xlfn.XLOOKUP($E68,'Emission Factors'!$A$21:$A$23,'Emission Factors'!$B$21:$B$23,0,0,1)/1000000</f>
        <v>17666510.472640302</v>
      </c>
      <c r="H68" s="43">
        <f>H31*_xlfn.XLOOKUP($E68,'Emission Factors'!$A$12:$A$14,'Emission Factors'!$B$12:$B$14,0,0,1)*_xlfn.XLOOKUP($E68,'Emission Factors'!$A$21:$A$23,'Emission Factors'!$B$21:$B$23,0,0,1)/1000000</f>
        <v>15503103.117295517</v>
      </c>
      <c r="I68" s="43">
        <f>I31*_xlfn.XLOOKUP($E68,'Emission Factors'!$A$12:$A$14,'Emission Factors'!$B$12:$B$14,0,0,1)*_xlfn.XLOOKUP($E68,'Emission Factors'!$A$21:$A$23,'Emission Factors'!$B$21:$B$23,0,0,1)/1000000</f>
        <v>16508876.76552286</v>
      </c>
      <c r="J68" s="43">
        <f>J31*_xlfn.XLOOKUP($E68,'Emission Factors'!$A$12:$A$14,'Emission Factors'!$B$12:$B$14,0,0,1)*_xlfn.XLOOKUP($E68,'Emission Factors'!$A$21:$A$23,'Emission Factors'!$B$21:$B$23,0,0,1)/1000000</f>
        <v>15108370.806458538</v>
      </c>
      <c r="K68" s="43">
        <f>K31*_xlfn.XLOOKUP($E68,'Emission Factors'!$A$12:$A$14,'Emission Factors'!$B$12:$B$14,0,0,1)*_xlfn.XLOOKUP($E68,'Emission Factors'!$A$21:$A$23,'Emission Factors'!$B$21:$B$23,0,0,1)/1000000</f>
        <v>14540249.70745966</v>
      </c>
      <c r="L68" s="43">
        <f>L31*_xlfn.XLOOKUP($E68,'Emission Factors'!$A$12:$A$14,'Emission Factors'!$B$12:$B$14,0,0,1)*_xlfn.XLOOKUP($E68,'Emission Factors'!$A$21:$A$23,'Emission Factors'!$B$21:$B$23,0,0,1)/1000000</f>
        <v>16028608.087429238</v>
      </c>
      <c r="M68" s="43">
        <f>M31*_xlfn.XLOOKUP($E68,'Emission Factors'!$A$12:$A$14,'Emission Factors'!$B$12:$B$14,0,0,1)*_xlfn.XLOOKUP($E68,'Emission Factors'!$A$21:$A$23,'Emission Factors'!$B$21:$B$23,0,0,1)/1000000</f>
        <v>15011999.61016356</v>
      </c>
      <c r="N68" s="43">
        <f>N31*_xlfn.XLOOKUP($E68,'Emission Factors'!$A$12:$A$14,'Emission Factors'!$B$12:$B$14,0,0,1)*_xlfn.XLOOKUP($E68,'Emission Factors'!$A$21:$A$23,'Emission Factors'!$B$21:$B$23,0,0,1)/1000000</f>
        <v>12169498.993608799</v>
      </c>
      <c r="O68" s="43">
        <f>O31*_xlfn.XLOOKUP($E68,'Emission Factors'!$A$12:$A$14,'Emission Factors'!$B$12:$B$14,0,0,1)*_xlfn.XLOOKUP($E68,'Emission Factors'!$A$21:$A$23,'Emission Factors'!$B$21:$B$23,0,0,1)/1000000</f>
        <v>13992937.859097138</v>
      </c>
      <c r="P68" s="43">
        <f>P31*_xlfn.XLOOKUP($E68,'Emission Factors'!$A$12:$A$14,'Emission Factors'!$B$12:$B$14,0,0,1)*_xlfn.XLOOKUP($E68,'Emission Factors'!$A$21:$A$23,'Emission Factors'!$B$21:$B$23,0,0,1)/1000000</f>
        <v>15518011.901390716</v>
      </c>
      <c r="Q68" s="43">
        <f>Q31*_xlfn.XLOOKUP($E68,'Emission Factors'!$A$12:$A$14,'Emission Factors'!$B$12:$B$14,0,0,1)*_xlfn.XLOOKUP($E68,'Emission Factors'!$A$21:$A$23,'Emission Factors'!$B$21:$B$23,0,0,1)/1000000</f>
        <v>12414270.075768799</v>
      </c>
      <c r="R68" s="43">
        <f>R31*_xlfn.XLOOKUP($E68,'Emission Factors'!$A$12:$A$14,'Emission Factors'!$B$12:$B$14,0,0,1)*_xlfn.XLOOKUP($E68,'Emission Factors'!$A$21:$A$23,'Emission Factors'!$B$21:$B$23,0,0,1)/1000000</f>
        <v>14535035.3416791</v>
      </c>
      <c r="S68" s="43">
        <f>S31*_xlfn.XLOOKUP($E68,'Emission Factors'!$A$12:$A$14,'Emission Factors'!$B$12:$B$14,0,0,1)*_xlfn.XLOOKUP($E68,'Emission Factors'!$A$21:$A$23,'Emission Factors'!$B$21:$B$23,0,0,1)/1000000</f>
        <v>12730186.098150257</v>
      </c>
      <c r="T68" s="43">
        <f>T31*_xlfn.XLOOKUP($E68,'Emission Factors'!$A$12:$A$14,'Emission Factors'!$B$12:$B$14,0,0,1)*_xlfn.XLOOKUP($E68,'Emission Factors'!$A$21:$A$23,'Emission Factors'!$B$21:$B$23,0,0,1)/1000000</f>
        <v>9611554.0316969398</v>
      </c>
      <c r="V68" s="47">
        <f t="shared" si="9"/>
        <v>12292258.490508765</v>
      </c>
      <c r="W68" s="47">
        <f t="shared" si="10"/>
        <v>9611554.0316969398</v>
      </c>
    </row>
    <row r="69" spans="1:23" x14ac:dyDescent="0.25">
      <c r="A69" s="39" t="s">
        <v>46</v>
      </c>
      <c r="B69" s="40"/>
      <c r="C69" s="26"/>
      <c r="D69" s="27"/>
      <c r="E69" s="41" t="s">
        <v>229</v>
      </c>
      <c r="F69" s="42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>
        <f>T32*_xlfn.XLOOKUP($E69,'Emission Factors'!$A$12:$A$14,'Emission Factors'!$B$12:$B$14,0,0,1)*_xlfn.XLOOKUP($E69,'Emission Factors'!$A$21:$A$23,'Emission Factors'!$B$21:$B$23,0,0,1)/1000000</f>
        <v>188176.42800000001</v>
      </c>
      <c r="V69" s="47">
        <f t="shared" si="9"/>
        <v>188176.42800000001</v>
      </c>
      <c r="W69" s="47">
        <f t="shared" si="10"/>
        <v>188176.42800000001</v>
      </c>
    </row>
    <row r="70" spans="1:23" x14ac:dyDescent="0.25">
      <c r="A70" s="39" t="s">
        <v>47</v>
      </c>
      <c r="B70" s="40">
        <v>171</v>
      </c>
      <c r="C70" s="26">
        <v>27893</v>
      </c>
      <c r="D70" s="27">
        <v>27893</v>
      </c>
      <c r="E70" s="41" t="s">
        <v>78</v>
      </c>
      <c r="F70" s="42" t="s">
        <v>76</v>
      </c>
      <c r="G70" s="43">
        <f>G33*_xlfn.XLOOKUP($E70,'Emission Factors'!$A$12:$A$14,'Emission Factors'!$B$12:$B$14,0,0,1)*_xlfn.XLOOKUP($E70,'Emission Factors'!$A$21:$A$23,'Emission Factors'!$B$21:$B$23,0,0,1)/1000000</f>
        <v>1170.4816363499999</v>
      </c>
      <c r="H70" s="43">
        <f>H33*_xlfn.XLOOKUP($E70,'Emission Factors'!$A$12:$A$14,'Emission Factors'!$B$12:$B$14,0,0,1)*_xlfn.XLOOKUP($E70,'Emission Factors'!$A$21:$A$23,'Emission Factors'!$B$21:$B$23,0,0,1)/1000000</f>
        <v>1217.4685204499999</v>
      </c>
      <c r="I70" s="43">
        <f>I33*_xlfn.XLOOKUP($E70,'Emission Factors'!$A$12:$A$14,'Emission Factors'!$B$12:$B$14,0,0,1)*_xlfn.XLOOKUP($E70,'Emission Factors'!$A$21:$A$23,'Emission Factors'!$B$21:$B$23,0,0,1)/1000000</f>
        <v>9473.6890755000004</v>
      </c>
      <c r="J70" s="43">
        <f>J33*_xlfn.XLOOKUP($E70,'Emission Factors'!$A$12:$A$14,'Emission Factors'!$B$12:$B$14,0,0,1)*_xlfn.XLOOKUP($E70,'Emission Factors'!$A$21:$A$23,'Emission Factors'!$B$21:$B$23,0,0,1)/1000000</f>
        <v>52983.404332949998</v>
      </c>
      <c r="K70" s="43">
        <f>K33*_xlfn.XLOOKUP($E70,'Emission Factors'!$A$12:$A$14,'Emission Factors'!$B$12:$B$14,0,0,1)*_xlfn.XLOOKUP($E70,'Emission Factors'!$A$21:$A$23,'Emission Factors'!$B$21:$B$23,0,0,1)/1000000</f>
        <v>65381.507410049999</v>
      </c>
      <c r="L70" s="43">
        <f>L33*_xlfn.XLOOKUP($E70,'Emission Factors'!$A$12:$A$14,'Emission Factors'!$B$12:$B$14,0,0,1)*_xlfn.XLOOKUP($E70,'Emission Factors'!$A$21:$A$23,'Emission Factors'!$B$21:$B$23,0,0,1)/1000000</f>
        <v>52503.318435749992</v>
      </c>
      <c r="M70" s="43">
        <f>M33*_xlfn.XLOOKUP($E70,'Emission Factors'!$A$12:$A$14,'Emission Factors'!$B$12:$B$14,0,0,1)*_xlfn.XLOOKUP($E70,'Emission Factors'!$A$21:$A$23,'Emission Factors'!$B$21:$B$23,0,0,1)/1000000</f>
        <v>200.09804685</v>
      </c>
      <c r="N70" s="43">
        <f>N33*_xlfn.XLOOKUP($E70,'Emission Factors'!$A$12:$A$14,'Emission Factors'!$B$12:$B$14,0,0,1)*_xlfn.XLOOKUP($E70,'Emission Factors'!$A$21:$A$23,'Emission Factors'!$B$21:$B$23,0,0,1)/1000000</f>
        <v>192.14589419999999</v>
      </c>
      <c r="O70" s="43">
        <f>O33*_xlfn.XLOOKUP($E70,'Emission Factors'!$A$12:$A$14,'Emission Factors'!$B$12:$B$14,0,0,1)*_xlfn.XLOOKUP($E70,'Emission Factors'!$A$21:$A$23,'Emission Factors'!$B$21:$B$23,0,0,1)/1000000</f>
        <v>1639.0588772999999</v>
      </c>
      <c r="P70" s="43">
        <f>P33*_xlfn.XLOOKUP($E70,'Emission Factors'!$A$12:$A$14,'Emission Factors'!$B$12:$B$14,0,0,1)*_xlfn.XLOOKUP($E70,'Emission Factors'!$A$21:$A$23,'Emission Factors'!$B$21:$B$23,0,0,1)/1000000</f>
        <v>566.41265654999995</v>
      </c>
      <c r="Q70" s="43">
        <f>Q33*_xlfn.XLOOKUP($E70,'Emission Factors'!$A$12:$A$14,'Emission Factors'!$B$12:$B$14,0,0,1)*_xlfn.XLOOKUP($E70,'Emission Factors'!$A$21:$A$23,'Emission Factors'!$B$21:$B$23,0,0,1)/1000000</f>
        <v>1456.4934461999999</v>
      </c>
      <c r="R70" s="43">
        <f>R33*_xlfn.XLOOKUP($E70,'Emission Factors'!$A$12:$A$14,'Emission Factors'!$B$12:$B$14,0,0,1)*_xlfn.XLOOKUP($E70,'Emission Factors'!$A$21:$A$23,'Emission Factors'!$B$21:$B$23,0,0,1)/1000000</f>
        <v>922.51547114999994</v>
      </c>
      <c r="S70" s="43">
        <f>S33*_xlfn.XLOOKUP($E70,'Emission Factors'!$A$12:$A$14,'Emission Factors'!$B$12:$B$14,0,0,1)*_xlfn.XLOOKUP($E70,'Emission Factors'!$A$21:$A$23,'Emission Factors'!$B$21:$B$23,0,0,1)/1000000</f>
        <v>1090.0236340500001</v>
      </c>
      <c r="T70" s="43">
        <f>T33*_xlfn.XLOOKUP($E70,'Emission Factors'!$A$12:$A$14,'Emission Factors'!$B$12:$B$14,0,0,1)*_xlfn.XLOOKUP($E70,'Emission Factors'!$A$21:$A$23,'Emission Factors'!$B$21:$B$23,0,0,1)/1000000</f>
        <v>2462.6604073499998</v>
      </c>
      <c r="V70" s="47">
        <f t="shared" si="9"/>
        <v>1491.7331708499999</v>
      </c>
      <c r="W70" s="47">
        <f t="shared" si="10"/>
        <v>2462.6604073499998</v>
      </c>
    </row>
    <row r="71" spans="1:23" x14ac:dyDescent="0.25">
      <c r="A71" s="39" t="s">
        <v>48</v>
      </c>
      <c r="B71" s="40">
        <v>171</v>
      </c>
      <c r="C71" s="26">
        <v>28033</v>
      </c>
      <c r="D71" s="27">
        <v>28033</v>
      </c>
      <c r="E71" s="41" t="s">
        <v>78</v>
      </c>
      <c r="F71" s="42" t="s">
        <v>76</v>
      </c>
      <c r="G71" s="43">
        <f>G34*_xlfn.XLOOKUP($E71,'Emission Factors'!$A$12:$A$14,'Emission Factors'!$B$12:$B$14,0,0,1)*_xlfn.XLOOKUP($E71,'Emission Factors'!$A$21:$A$23,'Emission Factors'!$B$21:$B$23,0,0,1)/1000000</f>
        <v>741.65989754999998</v>
      </c>
      <c r="H71" s="43">
        <f>H34*_xlfn.XLOOKUP($E71,'Emission Factors'!$A$12:$A$14,'Emission Factors'!$B$12:$B$14,0,0,1)*_xlfn.XLOOKUP($E71,'Emission Factors'!$A$21:$A$23,'Emission Factors'!$B$21:$B$23,0,0,1)/1000000</f>
        <v>2178.1322276999999</v>
      </c>
      <c r="I71" s="43">
        <f>I34*_xlfn.XLOOKUP($E71,'Emission Factors'!$A$12:$A$14,'Emission Factors'!$B$12:$B$14,0,0,1)*_xlfn.XLOOKUP($E71,'Emission Factors'!$A$21:$A$23,'Emission Factors'!$B$21:$B$23,0,0,1)/1000000</f>
        <v>10548.91323525</v>
      </c>
      <c r="J71" s="43">
        <f>J34*_xlfn.XLOOKUP($E71,'Emission Factors'!$A$12:$A$14,'Emission Factors'!$B$12:$B$14,0,0,1)*_xlfn.XLOOKUP($E71,'Emission Factors'!$A$21:$A$23,'Emission Factors'!$B$21:$B$23,0,0,1)/1000000</f>
        <v>68489.604826499999</v>
      </c>
      <c r="K71" s="43">
        <f>K34*_xlfn.XLOOKUP($E71,'Emission Factors'!$A$12:$A$14,'Emission Factors'!$B$12:$B$14,0,0,1)*_xlfn.XLOOKUP($E71,'Emission Factors'!$A$21:$A$23,'Emission Factors'!$B$21:$B$23,0,0,1)/1000000</f>
        <v>62601.294898349995</v>
      </c>
      <c r="L71" s="43">
        <f>L34*_xlfn.XLOOKUP($E71,'Emission Factors'!$A$12:$A$14,'Emission Factors'!$B$12:$B$14,0,0,1)*_xlfn.XLOOKUP($E71,'Emission Factors'!$A$21:$A$23,'Emission Factors'!$B$21:$B$23,0,0,1)/1000000</f>
        <v>63747.762243749996</v>
      </c>
      <c r="M71" s="43">
        <f>M34*_xlfn.XLOOKUP($E71,'Emission Factors'!$A$12:$A$14,'Emission Factors'!$B$12:$B$14,0,0,1)*_xlfn.XLOOKUP($E71,'Emission Factors'!$A$21:$A$23,'Emission Factors'!$B$21:$B$23,0,0,1)/1000000</f>
        <v>97.012053449999982</v>
      </c>
      <c r="N71" s="43">
        <f>N34*_xlfn.XLOOKUP($E71,'Emission Factors'!$A$12:$A$14,'Emission Factors'!$B$12:$B$14,0,0,1)*_xlfn.XLOOKUP($E71,'Emission Factors'!$A$21:$A$23,'Emission Factors'!$B$21:$B$23,0,0,1)/1000000</f>
        <v>120.94742789999999</v>
      </c>
      <c r="O71" s="43">
        <f>O34*_xlfn.XLOOKUP($E71,'Emission Factors'!$A$12:$A$14,'Emission Factors'!$B$12:$B$14,0,0,1)*_xlfn.XLOOKUP($E71,'Emission Factors'!$A$21:$A$23,'Emission Factors'!$B$21:$B$23,0,0,1)/1000000</f>
        <v>1748.6370680999999</v>
      </c>
      <c r="P71" s="43">
        <f>P34*_xlfn.XLOOKUP($E71,'Emission Factors'!$A$12:$A$14,'Emission Factors'!$B$12:$B$14,0,0,1)*_xlfn.XLOOKUP($E71,'Emission Factors'!$A$21:$A$23,'Emission Factors'!$B$21:$B$23,0,0,1)/1000000</f>
        <v>463.43714624999996</v>
      </c>
      <c r="Q71" s="43">
        <f>Q34*_xlfn.XLOOKUP($E71,'Emission Factors'!$A$12:$A$14,'Emission Factors'!$B$12:$B$14,0,0,1)*_xlfn.XLOOKUP($E71,'Emission Factors'!$A$21:$A$23,'Emission Factors'!$B$21:$B$23,0,0,1)/1000000</f>
        <v>1618.5958288499999</v>
      </c>
      <c r="R71" s="43">
        <f>R34*_xlfn.XLOOKUP($E71,'Emission Factors'!$A$12:$A$14,'Emission Factors'!$B$12:$B$14,0,0,1)*_xlfn.XLOOKUP($E71,'Emission Factors'!$A$21:$A$23,'Emission Factors'!$B$21:$B$23,0,0,1)/1000000</f>
        <v>957.89899919999993</v>
      </c>
      <c r="S71" s="43">
        <f>S34*_xlfn.XLOOKUP($E71,'Emission Factors'!$A$12:$A$14,'Emission Factors'!$B$12:$B$14,0,0,1)*_xlfn.XLOOKUP($E71,'Emission Factors'!$A$21:$A$23,'Emission Factors'!$B$21:$B$23,0,0,1)/1000000</f>
        <v>2876.2591532999995</v>
      </c>
      <c r="T71" s="43">
        <f>T34*_xlfn.XLOOKUP($E71,'Emission Factors'!$A$12:$A$14,'Emission Factors'!$B$12:$B$14,0,0,1)*_xlfn.XLOOKUP($E71,'Emission Factors'!$A$21:$A$23,'Emission Factors'!$B$21:$B$23,0,0,1)/1000000</f>
        <v>3835.9627097999996</v>
      </c>
      <c r="V71" s="47">
        <f t="shared" si="9"/>
        <v>2556.7069540999996</v>
      </c>
      <c r="W71" s="47">
        <f t="shared" si="10"/>
        <v>3835.9627097999996</v>
      </c>
    </row>
    <row r="72" spans="1:23" x14ac:dyDescent="0.25">
      <c r="A72" s="39" t="s">
        <v>49</v>
      </c>
      <c r="B72" s="40">
        <v>3450</v>
      </c>
      <c r="C72" s="26">
        <v>29127</v>
      </c>
      <c r="D72" s="27">
        <v>29127</v>
      </c>
      <c r="E72" s="41" t="s">
        <v>67</v>
      </c>
      <c r="F72" s="42" t="s">
        <v>76</v>
      </c>
      <c r="G72" s="43">
        <f>G35*_xlfn.XLOOKUP($E72,'Emission Factors'!$A$12:$A$14,'Emission Factors'!$B$12:$B$14,0,0,1)*_xlfn.XLOOKUP($E72,'Emission Factors'!$A$21:$A$23,'Emission Factors'!$B$21:$B$23,0,0,1)/1000000</f>
        <v>22540117.820305977</v>
      </c>
      <c r="H72" s="43">
        <f>H35*_xlfn.XLOOKUP($E72,'Emission Factors'!$A$12:$A$14,'Emission Factors'!$B$12:$B$14,0,0,1)*_xlfn.XLOOKUP($E72,'Emission Factors'!$A$21:$A$23,'Emission Factors'!$B$21:$B$23,0,0,1)/1000000</f>
        <v>21079094.065503977</v>
      </c>
      <c r="I72" s="43">
        <f>I35*_xlfn.XLOOKUP($E72,'Emission Factors'!$A$12:$A$14,'Emission Factors'!$B$12:$B$14,0,0,1)*_xlfn.XLOOKUP($E72,'Emission Factors'!$A$21:$A$23,'Emission Factors'!$B$21:$B$23,0,0,1)/1000000</f>
        <v>22380527.074737661</v>
      </c>
      <c r="J72" s="43">
        <f>J35*_xlfn.XLOOKUP($E72,'Emission Factors'!$A$12:$A$14,'Emission Factors'!$B$12:$B$14,0,0,1)*_xlfn.XLOOKUP($E72,'Emission Factors'!$A$21:$A$23,'Emission Factors'!$B$21:$B$23,0,0,1)/1000000</f>
        <v>18684900.95755716</v>
      </c>
      <c r="K72" s="43">
        <f>K35*_xlfn.XLOOKUP($E72,'Emission Factors'!$A$12:$A$14,'Emission Factors'!$B$12:$B$14,0,0,1)*_xlfn.XLOOKUP($E72,'Emission Factors'!$A$21:$A$23,'Emission Factors'!$B$21:$B$23,0,0,1)/1000000</f>
        <v>21292912.731729016</v>
      </c>
      <c r="L72" s="43">
        <f>L35*_xlfn.XLOOKUP($E72,'Emission Factors'!$A$12:$A$14,'Emission Factors'!$B$12:$B$14,0,0,1)*_xlfn.XLOOKUP($E72,'Emission Factors'!$A$21:$A$23,'Emission Factors'!$B$21:$B$23,0,0,1)/1000000</f>
        <v>21601780.459540099</v>
      </c>
      <c r="M72" s="43">
        <f>M35*_xlfn.XLOOKUP($E72,'Emission Factors'!$A$12:$A$14,'Emission Factors'!$B$12:$B$14,0,0,1)*_xlfn.XLOOKUP($E72,'Emission Factors'!$A$21:$A$23,'Emission Factors'!$B$21:$B$23,0,0,1)/1000000</f>
        <v>20289188.114151578</v>
      </c>
      <c r="N72" s="43">
        <f>N35*_xlfn.XLOOKUP($E72,'Emission Factors'!$A$12:$A$14,'Emission Factors'!$B$12:$B$14,0,0,1)*_xlfn.XLOOKUP($E72,'Emission Factors'!$A$21:$A$23,'Emission Factors'!$B$21:$B$23,0,0,1)/1000000</f>
        <v>21026323.645381939</v>
      </c>
      <c r="O72" s="43">
        <f>O35*_xlfn.XLOOKUP($E72,'Emission Factors'!$A$12:$A$14,'Emission Factors'!$B$12:$B$14,0,0,1)*_xlfn.XLOOKUP($E72,'Emission Factors'!$A$21:$A$23,'Emission Factors'!$B$21:$B$23,0,0,1)/1000000</f>
        <v>20157912.932405859</v>
      </c>
      <c r="P72" s="43">
        <f>P35*_xlfn.XLOOKUP($E72,'Emission Factors'!$A$12:$A$14,'Emission Factors'!$B$12:$B$14,0,0,1)*_xlfn.XLOOKUP($E72,'Emission Factors'!$A$21:$A$23,'Emission Factors'!$B$21:$B$23,0,0,1)/1000000</f>
        <v>20930590.337361675</v>
      </c>
      <c r="Q72" s="43">
        <f>Q35*_xlfn.XLOOKUP($E72,'Emission Factors'!$A$12:$A$14,'Emission Factors'!$B$12:$B$14,0,0,1)*_xlfn.XLOOKUP($E72,'Emission Factors'!$A$21:$A$23,'Emission Factors'!$B$21:$B$23,0,0,1)/1000000</f>
        <v>19831976.130266879</v>
      </c>
      <c r="R72" s="43">
        <f>R35*_xlfn.XLOOKUP($E72,'Emission Factors'!$A$12:$A$14,'Emission Factors'!$B$12:$B$14,0,0,1)*_xlfn.XLOOKUP($E72,'Emission Factors'!$A$21:$A$23,'Emission Factors'!$B$21:$B$23,0,0,1)/1000000</f>
        <v>20106290.34031304</v>
      </c>
      <c r="S72" s="43">
        <f>S35*_xlfn.XLOOKUP($E72,'Emission Factors'!$A$12:$A$14,'Emission Factors'!$B$12:$B$14,0,0,1)*_xlfn.XLOOKUP($E72,'Emission Factors'!$A$21:$A$23,'Emission Factors'!$B$21:$B$23,0,0,1)/1000000</f>
        <v>17682941.658693478</v>
      </c>
      <c r="T72" s="43">
        <f>T35*_xlfn.XLOOKUP($E72,'Emission Factors'!$A$12:$A$14,'Emission Factors'!$B$12:$B$14,0,0,1)*_xlfn.XLOOKUP($E72,'Emission Factors'!$A$21:$A$23,'Emission Factors'!$B$21:$B$23,0,0,1)/1000000</f>
        <v>18816457.996912636</v>
      </c>
      <c r="V72" s="47">
        <f t="shared" si="9"/>
        <v>18868563.33197305</v>
      </c>
      <c r="W72" s="47">
        <f t="shared" si="10"/>
        <v>18816457.996912636</v>
      </c>
    </row>
    <row r="73" spans="1:23" x14ac:dyDescent="0.25">
      <c r="A73" s="39" t="s">
        <v>49</v>
      </c>
      <c r="B73" s="40"/>
      <c r="C73" s="26"/>
      <c r="D73" s="27"/>
      <c r="E73" s="41" t="s">
        <v>229</v>
      </c>
      <c r="F73" s="42"/>
      <c r="G73" s="43"/>
      <c r="H73" s="43"/>
      <c r="I73" s="43"/>
      <c r="J73" s="43"/>
      <c r="K73" s="43"/>
      <c r="L73" s="43"/>
      <c r="M73" s="43"/>
      <c r="N73" s="43"/>
      <c r="O73" s="43"/>
      <c r="P73" s="43"/>
      <c r="Q73" s="43"/>
      <c r="R73" s="43"/>
      <c r="S73" s="43"/>
      <c r="T73" s="43">
        <f>T36*_xlfn.XLOOKUP($E73,'Emission Factors'!$A$12:$A$14,'Emission Factors'!$B$12:$B$14,0,0,1)*_xlfn.XLOOKUP($E73,'Emission Factors'!$A$21:$A$23,'Emission Factors'!$B$21:$B$23,0,0,1)/1000000</f>
        <v>65159.49960000001</v>
      </c>
      <c r="V73" s="47">
        <f t="shared" si="9"/>
        <v>65159.49960000001</v>
      </c>
      <c r="W73" s="47">
        <f t="shared" si="10"/>
        <v>65159.49960000001</v>
      </c>
    </row>
    <row r="74" spans="1:23" x14ac:dyDescent="0.25">
      <c r="A74" s="39" t="s">
        <v>50</v>
      </c>
      <c r="B74" s="40">
        <v>2875</v>
      </c>
      <c r="C74" s="26">
        <v>29238</v>
      </c>
      <c r="D74" s="27">
        <v>29238</v>
      </c>
      <c r="E74" s="41" t="s">
        <v>67</v>
      </c>
      <c r="F74" s="42" t="s">
        <v>76</v>
      </c>
      <c r="G74" s="43">
        <f>G37*_xlfn.XLOOKUP($E74,'Emission Factors'!$A$12:$A$14,'Emission Factors'!$B$12:$B$14,0,0,1)*_xlfn.XLOOKUP($E74,'Emission Factors'!$A$21:$A$23,'Emission Factors'!$B$21:$B$23,0,0,1)/1000000</f>
        <v>19728907.10708734</v>
      </c>
      <c r="H74" s="43">
        <f>H37*_xlfn.XLOOKUP($E74,'Emission Factors'!$A$12:$A$14,'Emission Factors'!$B$12:$B$14,0,0,1)*_xlfn.XLOOKUP($E74,'Emission Factors'!$A$21:$A$23,'Emission Factors'!$B$21:$B$23,0,0,1)/1000000</f>
        <v>16974822.626657359</v>
      </c>
      <c r="I74" s="43">
        <f>I37*_xlfn.XLOOKUP($E74,'Emission Factors'!$A$12:$A$14,'Emission Factors'!$B$12:$B$14,0,0,1)*_xlfn.XLOOKUP($E74,'Emission Factors'!$A$21:$A$23,'Emission Factors'!$B$21:$B$23,0,0,1)/1000000</f>
        <v>16889966.797182176</v>
      </c>
      <c r="J74" s="43">
        <f>J37*_xlfn.XLOOKUP($E74,'Emission Factors'!$A$12:$A$14,'Emission Factors'!$B$12:$B$14,0,0,1)*_xlfn.XLOOKUP($E74,'Emission Factors'!$A$21:$A$23,'Emission Factors'!$B$21:$B$23,0,0,1)/1000000</f>
        <v>18064133.6783037</v>
      </c>
      <c r="K74" s="43">
        <f>K37*_xlfn.XLOOKUP($E74,'Emission Factors'!$A$12:$A$14,'Emission Factors'!$B$12:$B$14,0,0,1)*_xlfn.XLOOKUP($E74,'Emission Factors'!$A$21:$A$23,'Emission Factors'!$B$21:$B$23,0,0,1)/1000000</f>
        <v>13462413.227452761</v>
      </c>
      <c r="L74" s="43">
        <f>L37*_xlfn.XLOOKUP($E74,'Emission Factors'!$A$12:$A$14,'Emission Factors'!$B$12:$B$14,0,0,1)*_xlfn.XLOOKUP($E74,'Emission Factors'!$A$21:$A$23,'Emission Factors'!$B$21:$B$23,0,0,1)/1000000</f>
        <v>14092392.80016206</v>
      </c>
      <c r="M74" s="43">
        <f>M37*_xlfn.XLOOKUP($E74,'Emission Factors'!$A$12:$A$14,'Emission Factors'!$B$12:$B$14,0,0,1)*_xlfn.XLOOKUP($E74,'Emission Factors'!$A$21:$A$23,'Emission Factors'!$B$21:$B$23,0,0,1)/1000000</f>
        <v>15738430.115202177</v>
      </c>
      <c r="N74" s="43">
        <f>N37*_xlfn.XLOOKUP($E74,'Emission Factors'!$A$12:$A$14,'Emission Factors'!$B$12:$B$14,0,0,1)*_xlfn.XLOOKUP($E74,'Emission Factors'!$A$21:$A$23,'Emission Factors'!$B$21:$B$23,0,0,1)/1000000</f>
        <v>12762186.208489919</v>
      </c>
      <c r="O74" s="43">
        <f>O37*_xlfn.XLOOKUP($E74,'Emission Factors'!$A$12:$A$14,'Emission Factors'!$B$12:$B$14,0,0,1)*_xlfn.XLOOKUP($E74,'Emission Factors'!$A$21:$A$23,'Emission Factors'!$B$21:$B$23,0,0,1)/1000000</f>
        <v>11423062.16125636</v>
      </c>
      <c r="P74" s="43">
        <f>P37*_xlfn.XLOOKUP($E74,'Emission Factors'!$A$12:$A$14,'Emission Factors'!$B$12:$B$14,0,0,1)*_xlfn.XLOOKUP($E74,'Emission Factors'!$A$21:$A$23,'Emission Factors'!$B$21:$B$23,0,0,1)/1000000</f>
        <v>11525309.717849558</v>
      </c>
      <c r="Q74" s="43">
        <f>Q37*_xlfn.XLOOKUP($E74,'Emission Factors'!$A$12:$A$14,'Emission Factors'!$B$12:$B$14,0,0,1)*_xlfn.XLOOKUP($E74,'Emission Factors'!$A$21:$A$23,'Emission Factors'!$B$21:$B$23,0,0,1)/1000000</f>
        <v>12203321.906780001</v>
      </c>
      <c r="R74" s="43">
        <f>R37*_xlfn.XLOOKUP($E74,'Emission Factors'!$A$12:$A$14,'Emission Factors'!$B$12:$B$14,0,0,1)*_xlfn.XLOOKUP($E74,'Emission Factors'!$A$21:$A$23,'Emission Factors'!$B$21:$B$23,0,0,1)/1000000</f>
        <v>10629360.403804099</v>
      </c>
      <c r="S74" s="43">
        <f>S37*_xlfn.XLOOKUP($E74,'Emission Factors'!$A$12:$A$14,'Emission Factors'!$B$12:$B$14,0,0,1)*_xlfn.XLOOKUP($E74,'Emission Factors'!$A$21:$A$23,'Emission Factors'!$B$21:$B$23,0,0,1)/1000000</f>
        <v>10065672.999179799</v>
      </c>
      <c r="T74" s="43">
        <f>T37*_xlfn.XLOOKUP($E74,'Emission Factors'!$A$12:$A$14,'Emission Factors'!$B$12:$B$14,0,0,1)*_xlfn.XLOOKUP($E74,'Emission Factors'!$A$21:$A$23,'Emission Factors'!$B$21:$B$23,0,0,1)/1000000</f>
        <v>12614689.379571959</v>
      </c>
      <c r="V74" s="47">
        <f t="shared" si="9"/>
        <v>11103240.927518619</v>
      </c>
      <c r="W74" s="47">
        <f t="shared" si="10"/>
        <v>12614689.379571959</v>
      </c>
    </row>
    <row r="75" spans="1:23" x14ac:dyDescent="0.25">
      <c r="A75" s="39" t="s">
        <v>50</v>
      </c>
      <c r="B75" s="40"/>
      <c r="C75" s="26"/>
      <c r="D75" s="27"/>
      <c r="E75" s="41" t="s">
        <v>229</v>
      </c>
      <c r="F75" s="42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>
        <f>T38*_xlfn.XLOOKUP($E75,'Emission Factors'!$A$12:$A$14,'Emission Factors'!$B$12:$B$14,0,0,1)*_xlfn.XLOOKUP($E75,'Emission Factors'!$A$21:$A$23,'Emission Factors'!$B$21:$B$23,0,0,1)/1000000</f>
        <v>241224.60780000003</v>
      </c>
      <c r="V75" s="47">
        <f t="shared" si="9"/>
        <v>241224.60780000003</v>
      </c>
      <c r="W75" s="47">
        <f t="shared" si="10"/>
        <v>241224.60780000003</v>
      </c>
    </row>
    <row r="76" spans="1:23" x14ac:dyDescent="0.25">
      <c r="A76" s="39" t="s">
        <v>51</v>
      </c>
      <c r="B76" s="40">
        <v>3510</v>
      </c>
      <c r="C76" s="26">
        <v>31199</v>
      </c>
      <c r="D76" s="27">
        <v>31199</v>
      </c>
      <c r="E76" s="41" t="s">
        <v>67</v>
      </c>
      <c r="F76" s="42" t="s">
        <v>76</v>
      </c>
      <c r="G76" s="43">
        <f>G39*_xlfn.XLOOKUP($E76,'Emission Factors'!$A$12:$A$14,'Emission Factors'!$B$12:$B$14,0,0,1)*_xlfn.XLOOKUP($E76,'Emission Factors'!$A$21:$A$23,'Emission Factors'!$B$21:$B$23,0,0,1)/1000000</f>
        <v>18898754.855983417</v>
      </c>
      <c r="H76" s="43">
        <f>H39*_xlfn.XLOOKUP($E76,'Emission Factors'!$A$12:$A$14,'Emission Factors'!$B$12:$B$14,0,0,1)*_xlfn.XLOOKUP($E76,'Emission Factors'!$A$21:$A$23,'Emission Factors'!$B$21:$B$23,0,0,1)/1000000</f>
        <v>21080323.48389392</v>
      </c>
      <c r="I76" s="43">
        <f>I39*_xlfn.XLOOKUP($E76,'Emission Factors'!$A$12:$A$14,'Emission Factors'!$B$12:$B$14,0,0,1)*_xlfn.XLOOKUP($E76,'Emission Factors'!$A$21:$A$23,'Emission Factors'!$B$21:$B$23,0,0,1)/1000000</f>
        <v>20329002.35585656</v>
      </c>
      <c r="J76" s="43">
        <f>J39*_xlfn.XLOOKUP($E76,'Emission Factors'!$A$12:$A$14,'Emission Factors'!$B$12:$B$14,0,0,1)*_xlfn.XLOOKUP($E76,'Emission Factors'!$A$21:$A$23,'Emission Factors'!$B$21:$B$23,0,0,1)/1000000</f>
        <v>19774339.957723718</v>
      </c>
      <c r="K76" s="43">
        <f>K39*_xlfn.XLOOKUP($E76,'Emission Factors'!$A$12:$A$14,'Emission Factors'!$B$12:$B$14,0,0,1)*_xlfn.XLOOKUP($E76,'Emission Factors'!$A$21:$A$23,'Emission Factors'!$B$21:$B$23,0,0,1)/1000000</f>
        <v>21507575.116456959</v>
      </c>
      <c r="L76" s="43">
        <f>L39*_xlfn.XLOOKUP($E76,'Emission Factors'!$A$12:$A$14,'Emission Factors'!$B$12:$B$14,0,0,1)*_xlfn.XLOOKUP($E76,'Emission Factors'!$A$21:$A$23,'Emission Factors'!$B$21:$B$23,0,0,1)/1000000</f>
        <v>19374007.581219137</v>
      </c>
      <c r="M76" s="43">
        <f>M39*_xlfn.XLOOKUP($E76,'Emission Factors'!$A$12:$A$14,'Emission Factors'!$B$12:$B$14,0,0,1)*_xlfn.XLOOKUP($E76,'Emission Factors'!$A$21:$A$23,'Emission Factors'!$B$21:$B$23,0,0,1)/1000000</f>
        <v>17206086.795465436</v>
      </c>
      <c r="N76" s="43">
        <f>N39*_xlfn.XLOOKUP($E76,'Emission Factors'!$A$12:$A$14,'Emission Factors'!$B$12:$B$14,0,0,1)*_xlfn.XLOOKUP($E76,'Emission Factors'!$A$21:$A$23,'Emission Factors'!$B$21:$B$23,0,0,1)/1000000</f>
        <v>17473999.870847836</v>
      </c>
      <c r="O76" s="43">
        <f>O39*_xlfn.XLOOKUP($E76,'Emission Factors'!$A$12:$A$14,'Emission Factors'!$B$12:$B$14,0,0,1)*_xlfn.XLOOKUP($E76,'Emission Factors'!$A$21:$A$23,'Emission Factors'!$B$21:$B$23,0,0,1)/1000000</f>
        <v>16831349.685983997</v>
      </c>
      <c r="P76" s="43">
        <f>P39*_xlfn.XLOOKUP($E76,'Emission Factors'!$A$12:$A$14,'Emission Factors'!$B$12:$B$14,0,0,1)*_xlfn.XLOOKUP($E76,'Emission Factors'!$A$21:$A$23,'Emission Factors'!$B$21:$B$23,0,0,1)/1000000</f>
        <v>13916333.782012958</v>
      </c>
      <c r="Q76" s="43">
        <f>Q39*_xlfn.XLOOKUP($E76,'Emission Factors'!$A$12:$A$14,'Emission Factors'!$B$12:$B$14,0,0,1)*_xlfn.XLOOKUP($E76,'Emission Factors'!$A$21:$A$23,'Emission Factors'!$B$21:$B$23,0,0,1)/1000000</f>
        <v>12418944.832572777</v>
      </c>
      <c r="R76" s="43">
        <f>R39*_xlfn.XLOOKUP($E76,'Emission Factors'!$A$12:$A$14,'Emission Factors'!$B$12:$B$14,0,0,1)*_xlfn.XLOOKUP($E76,'Emission Factors'!$A$21:$A$23,'Emission Factors'!$B$21:$B$23,0,0,1)/1000000</f>
        <v>10217735.179645319</v>
      </c>
      <c r="S76" s="43">
        <f>S39*_xlfn.XLOOKUP($E76,'Emission Factors'!$A$12:$A$14,'Emission Factors'!$B$12:$B$14,0,0,1)*_xlfn.XLOOKUP($E76,'Emission Factors'!$A$21:$A$23,'Emission Factors'!$B$21:$B$23,0,0,1)/1000000</f>
        <v>8709795.113102939</v>
      </c>
      <c r="T76" s="43">
        <f>T39*_xlfn.XLOOKUP($E76,'Emission Factors'!$A$12:$A$14,'Emission Factors'!$B$12:$B$14,0,0,1)*_xlfn.XLOOKUP($E76,'Emission Factors'!$A$21:$A$23,'Emission Factors'!$B$21:$B$23,0,0,1)/1000000</f>
        <v>7193061.8308665995</v>
      </c>
      <c r="V76" s="47">
        <f t="shared" si="9"/>
        <v>8706864.0412049517</v>
      </c>
      <c r="W76" s="47">
        <f t="shared" si="10"/>
        <v>7193061.8308665995</v>
      </c>
    </row>
    <row r="77" spans="1:23" x14ac:dyDescent="0.25">
      <c r="A77" s="39" t="s">
        <v>51</v>
      </c>
      <c r="B77" s="40"/>
      <c r="C77" s="26"/>
      <c r="D77" s="27"/>
      <c r="E77" s="41" t="s">
        <v>229</v>
      </c>
      <c r="F77" s="42"/>
      <c r="G77" s="43"/>
      <c r="H77" s="43"/>
      <c r="I77" s="43"/>
      <c r="J77" s="43"/>
      <c r="K77" s="43"/>
      <c r="L77" s="43"/>
      <c r="M77" s="43"/>
      <c r="N77" s="43"/>
      <c r="O77" s="43"/>
      <c r="P77" s="43"/>
      <c r="Q77" s="43"/>
      <c r="R77" s="43"/>
      <c r="S77" s="43"/>
      <c r="T77" s="43">
        <f>T40*_xlfn.XLOOKUP($E77,'Emission Factors'!$A$12:$A$14,'Emission Factors'!$B$12:$B$14,0,0,1)*_xlfn.XLOOKUP($E77,'Emission Factors'!$A$21:$A$23,'Emission Factors'!$B$21:$B$23,0,0,1)/1000000</f>
        <v>206804.3634</v>
      </c>
      <c r="V77" s="47">
        <f t="shared" si="9"/>
        <v>206804.3634</v>
      </c>
      <c r="W77" s="47">
        <f t="shared" si="10"/>
        <v>206804.3634</v>
      </c>
    </row>
    <row r="78" spans="1:23" x14ac:dyDescent="0.25">
      <c r="A78" s="39" t="s">
        <v>52</v>
      </c>
      <c r="B78" s="40">
        <v>3558</v>
      </c>
      <c r="C78" s="26">
        <v>31403</v>
      </c>
      <c r="D78" s="27">
        <v>31403</v>
      </c>
      <c r="E78" s="41" t="s">
        <v>67</v>
      </c>
      <c r="F78" s="42" t="s">
        <v>76</v>
      </c>
      <c r="G78" s="43">
        <f>G41*_xlfn.XLOOKUP($E78,'Emission Factors'!$A$12:$A$14,'Emission Factors'!$B$12:$B$14,0,0,1)*_xlfn.XLOOKUP($E78,'Emission Factors'!$A$21:$A$23,'Emission Factors'!$B$21:$B$23,0,0,1)/1000000</f>
        <v>32960093.25225962</v>
      </c>
      <c r="H78" s="43">
        <f>H41*_xlfn.XLOOKUP($E78,'Emission Factors'!$A$12:$A$14,'Emission Factors'!$B$12:$B$14,0,0,1)*_xlfn.XLOOKUP($E78,'Emission Factors'!$A$21:$A$23,'Emission Factors'!$B$21:$B$23,0,0,1)/1000000</f>
        <v>32067485.434350919</v>
      </c>
      <c r="I78" s="43">
        <f>I41*_xlfn.XLOOKUP($E78,'Emission Factors'!$A$12:$A$14,'Emission Factors'!$B$12:$B$14,0,0,1)*_xlfn.XLOOKUP($E78,'Emission Factors'!$A$21:$A$23,'Emission Factors'!$B$21:$B$23,0,0,1)/1000000</f>
        <v>29634739.026637521</v>
      </c>
      <c r="J78" s="43">
        <f>J41*_xlfn.XLOOKUP($E78,'Emission Factors'!$A$12:$A$14,'Emission Factors'!$B$12:$B$14,0,0,1)*_xlfn.XLOOKUP($E78,'Emission Factors'!$A$21:$A$23,'Emission Factors'!$B$21:$B$23,0,0,1)/1000000</f>
        <v>30258818.132805657</v>
      </c>
      <c r="K78" s="43">
        <f>K41*_xlfn.XLOOKUP($E78,'Emission Factors'!$A$12:$A$14,'Emission Factors'!$B$12:$B$14,0,0,1)*_xlfn.XLOOKUP($E78,'Emission Factors'!$A$21:$A$23,'Emission Factors'!$B$21:$B$23,0,0,1)/1000000</f>
        <v>30052088.556331355</v>
      </c>
      <c r="L78" s="43">
        <f>L41*_xlfn.XLOOKUP($E78,'Emission Factors'!$A$12:$A$14,'Emission Factors'!$B$12:$B$14,0,0,1)*_xlfn.XLOOKUP($E78,'Emission Factors'!$A$21:$A$23,'Emission Factors'!$B$21:$B$23,0,0,1)/1000000</f>
        <v>27707324.372369822</v>
      </c>
      <c r="M78" s="43">
        <f>M41*_xlfn.XLOOKUP($E78,'Emission Factors'!$A$12:$A$14,'Emission Factors'!$B$12:$B$14,0,0,1)*_xlfn.XLOOKUP($E78,'Emission Factors'!$A$21:$A$23,'Emission Factors'!$B$21:$B$23,0,0,1)/1000000</f>
        <v>28912527.114113398</v>
      </c>
      <c r="N78" s="43">
        <f>N41*_xlfn.XLOOKUP($E78,'Emission Factors'!$A$12:$A$14,'Emission Factors'!$B$12:$B$14,0,0,1)*_xlfn.XLOOKUP($E78,'Emission Factors'!$A$21:$A$23,'Emission Factors'!$B$21:$B$23,0,0,1)/1000000</f>
        <v>23725056.483368918</v>
      </c>
      <c r="O78" s="43">
        <f>O41*_xlfn.XLOOKUP($E78,'Emission Factors'!$A$12:$A$14,'Emission Factors'!$B$12:$B$14,0,0,1)*_xlfn.XLOOKUP($E78,'Emission Factors'!$A$21:$A$23,'Emission Factors'!$B$21:$B$23,0,0,1)/1000000</f>
        <v>27955038.270494878</v>
      </c>
      <c r="P78" s="43">
        <f>P41*_xlfn.XLOOKUP($E78,'Emission Factors'!$A$12:$A$14,'Emission Factors'!$B$12:$B$14,0,0,1)*_xlfn.XLOOKUP($E78,'Emission Factors'!$A$21:$A$23,'Emission Factors'!$B$21:$B$23,0,0,1)/1000000</f>
        <v>24054651.871455636</v>
      </c>
      <c r="Q78" s="43">
        <f>Q41*_xlfn.XLOOKUP($E78,'Emission Factors'!$A$12:$A$14,'Emission Factors'!$B$12:$B$14,0,0,1)*_xlfn.XLOOKUP($E78,'Emission Factors'!$A$21:$A$23,'Emission Factors'!$B$21:$B$23,0,0,1)/1000000</f>
        <v>28107933.04350502</v>
      </c>
      <c r="R78" s="43">
        <f>R41*_xlfn.XLOOKUP($E78,'Emission Factors'!$A$12:$A$14,'Emission Factors'!$B$12:$B$14,0,0,1)*_xlfn.XLOOKUP($E78,'Emission Factors'!$A$21:$A$23,'Emission Factors'!$B$21:$B$23,0,0,1)/1000000</f>
        <v>30184611.699730821</v>
      </c>
      <c r="S78" s="43">
        <f>S41*_xlfn.XLOOKUP($E78,'Emission Factors'!$A$12:$A$14,'Emission Factors'!$B$12:$B$14,0,0,1)*_xlfn.XLOOKUP($E78,'Emission Factors'!$A$21:$A$23,'Emission Factors'!$B$21:$B$23,0,0,1)/1000000</f>
        <v>29014062.609376676</v>
      </c>
      <c r="T78" s="43">
        <f>T41*_xlfn.XLOOKUP($E78,'Emission Factors'!$A$12:$A$14,'Emission Factors'!$B$12:$B$14,0,0,1)*_xlfn.XLOOKUP($E78,'Emission Factors'!$A$21:$A$23,'Emission Factors'!$B$21:$B$23,0,0,1)/1000000</f>
        <v>29758316.899579857</v>
      </c>
      <c r="V78" s="47">
        <f t="shared" si="9"/>
        <v>29652330.402895782</v>
      </c>
      <c r="W78" s="47">
        <f t="shared" si="10"/>
        <v>29758316.899579857</v>
      </c>
    </row>
    <row r="79" spans="1:23" x14ac:dyDescent="0.25">
      <c r="A79" s="39" t="s">
        <v>52</v>
      </c>
      <c r="B79" s="40"/>
      <c r="C79" s="26"/>
      <c r="D79" s="27"/>
      <c r="E79" s="41" t="s">
        <v>229</v>
      </c>
      <c r="F79" s="42"/>
      <c r="G79" s="43"/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>
        <f>T42*_xlfn.XLOOKUP($E79,'Emission Factors'!$A$12:$A$14,'Emission Factors'!$B$12:$B$14,0,0,1)*_xlfn.XLOOKUP($E79,'Emission Factors'!$A$21:$A$23,'Emission Factors'!$B$21:$B$23,0,0,1)/1000000</f>
        <v>44105.306400000001</v>
      </c>
      <c r="V79" s="47">
        <f t="shared" si="9"/>
        <v>44105.306400000001</v>
      </c>
      <c r="W79" s="47">
        <f t="shared" si="10"/>
        <v>44105.306400000001</v>
      </c>
    </row>
    <row r="80" spans="1:23" x14ac:dyDescent="0.25">
      <c r="A80" s="39" t="s">
        <v>53</v>
      </c>
      <c r="B80" s="40">
        <v>3690</v>
      </c>
      <c r="C80" s="26">
        <v>32115</v>
      </c>
      <c r="D80" s="27">
        <v>32115</v>
      </c>
      <c r="E80" s="41" t="s">
        <v>67</v>
      </c>
      <c r="F80" s="42" t="s">
        <v>76</v>
      </c>
      <c r="G80" s="43">
        <f>G43*_xlfn.XLOOKUP($E80,'Emission Factors'!$A$12:$A$14,'Emission Factors'!$B$12:$B$14,0,0,1)*_xlfn.XLOOKUP($E80,'Emission Factors'!$A$21:$A$23,'Emission Factors'!$B$21:$B$23,0,0,1)/1000000</f>
        <v>27067309.185291957</v>
      </c>
      <c r="H80" s="43">
        <f>H43*_xlfn.XLOOKUP($E80,'Emission Factors'!$A$12:$A$14,'Emission Factors'!$B$12:$B$14,0,0,1)*_xlfn.XLOOKUP($E80,'Emission Factors'!$A$21:$A$23,'Emission Factors'!$B$21:$B$23,0,0,1)/1000000</f>
        <v>27728478.527712855</v>
      </c>
      <c r="I80" s="43">
        <f>I43*_xlfn.XLOOKUP($E80,'Emission Factors'!$A$12:$A$14,'Emission Factors'!$B$12:$B$14,0,0,1)*_xlfn.XLOOKUP($E80,'Emission Factors'!$A$21:$A$23,'Emission Factors'!$B$21:$B$23,0,0,1)/1000000</f>
        <v>26460584.719714236</v>
      </c>
      <c r="J80" s="43">
        <f>J43*_xlfn.XLOOKUP($E80,'Emission Factors'!$A$12:$A$14,'Emission Factors'!$B$12:$B$14,0,0,1)*_xlfn.XLOOKUP($E80,'Emission Factors'!$A$21:$A$23,'Emission Factors'!$B$21:$B$23,0,0,1)/1000000</f>
        <v>25795626.988499001</v>
      </c>
      <c r="K80" s="43">
        <f>K43*_xlfn.XLOOKUP($E80,'Emission Factors'!$A$12:$A$14,'Emission Factors'!$B$12:$B$14,0,0,1)*_xlfn.XLOOKUP($E80,'Emission Factors'!$A$21:$A$23,'Emission Factors'!$B$21:$B$23,0,0,1)/1000000</f>
        <v>26380895.043533739</v>
      </c>
      <c r="L80" s="43">
        <f>L43*_xlfn.XLOOKUP($E80,'Emission Factors'!$A$12:$A$14,'Emission Factors'!$B$12:$B$14,0,0,1)*_xlfn.XLOOKUP($E80,'Emission Factors'!$A$21:$A$23,'Emission Factors'!$B$21:$B$23,0,0,1)/1000000</f>
        <v>23583493.498866957</v>
      </c>
      <c r="M80" s="43">
        <f>M43*_xlfn.XLOOKUP($E80,'Emission Factors'!$A$12:$A$14,'Emission Factors'!$B$12:$B$14,0,0,1)*_xlfn.XLOOKUP($E80,'Emission Factors'!$A$21:$A$23,'Emission Factors'!$B$21:$B$23,0,0,1)/1000000</f>
        <v>24528265.372171439</v>
      </c>
      <c r="N80" s="43">
        <f>N43*_xlfn.XLOOKUP($E80,'Emission Factors'!$A$12:$A$14,'Emission Factors'!$B$12:$B$14,0,0,1)*_xlfn.XLOOKUP($E80,'Emission Factors'!$A$21:$A$23,'Emission Factors'!$B$21:$B$23,0,0,1)/1000000</f>
        <v>25715160.349565279</v>
      </c>
      <c r="O80" s="43">
        <f>O43*_xlfn.XLOOKUP($E80,'Emission Factors'!$A$12:$A$14,'Emission Factors'!$B$12:$B$14,0,0,1)*_xlfn.XLOOKUP($E80,'Emission Factors'!$A$21:$A$23,'Emission Factors'!$B$21:$B$23,0,0,1)/1000000</f>
        <v>26098887.233336955</v>
      </c>
      <c r="P80" s="43">
        <f>P43*_xlfn.XLOOKUP($E80,'Emission Factors'!$A$12:$A$14,'Emission Factors'!$B$12:$B$14,0,0,1)*_xlfn.XLOOKUP($E80,'Emission Factors'!$A$21:$A$23,'Emission Factors'!$B$21:$B$23,0,0,1)/1000000</f>
        <v>26079552.172172699</v>
      </c>
      <c r="Q80" s="43">
        <f>Q43*_xlfn.XLOOKUP($E80,'Emission Factors'!$A$12:$A$14,'Emission Factors'!$B$12:$B$14,0,0,1)*_xlfn.XLOOKUP($E80,'Emission Factors'!$A$21:$A$23,'Emission Factors'!$B$21:$B$23,0,0,1)/1000000</f>
        <v>23992963.995772175</v>
      </c>
      <c r="R80" s="43">
        <f>R43*_xlfn.XLOOKUP($E80,'Emission Factors'!$A$12:$A$14,'Emission Factors'!$B$12:$B$14,0,0,1)*_xlfn.XLOOKUP($E80,'Emission Factors'!$A$21:$A$23,'Emission Factors'!$B$21:$B$23,0,0,1)/1000000</f>
        <v>24904995.882511377</v>
      </c>
      <c r="S80" s="43">
        <f>S43*_xlfn.XLOOKUP($E80,'Emission Factors'!$A$12:$A$14,'Emission Factors'!$B$12:$B$14,0,0,1)*_xlfn.XLOOKUP($E80,'Emission Factors'!$A$21:$A$23,'Emission Factors'!$B$21:$B$23,0,0,1)/1000000</f>
        <v>24439239.162667636</v>
      </c>
      <c r="T80" s="43">
        <f>T43*_xlfn.XLOOKUP($E80,'Emission Factors'!$A$12:$A$14,'Emission Factors'!$B$12:$B$14,0,0,1)*_xlfn.XLOOKUP($E80,'Emission Factors'!$A$21:$A$23,'Emission Factors'!$B$21:$B$23,0,0,1)/1000000</f>
        <v>19793662.038603317</v>
      </c>
      <c r="V80" s="47">
        <f t="shared" si="9"/>
        <v>23045965.694594111</v>
      </c>
      <c r="W80" s="47">
        <f t="shared" si="10"/>
        <v>19793662.038603317</v>
      </c>
    </row>
    <row r="81" spans="1:23" x14ac:dyDescent="0.25">
      <c r="A81" s="39" t="s">
        <v>53</v>
      </c>
      <c r="B81" s="40"/>
      <c r="C81" s="26"/>
      <c r="D81" s="27"/>
      <c r="E81" s="41" t="s">
        <v>229</v>
      </c>
      <c r="F81" s="42"/>
      <c r="G81" s="43"/>
      <c r="H81" s="43"/>
      <c r="I81" s="43"/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>
        <f>T44*_xlfn.XLOOKUP($E81,'Emission Factors'!$A$12:$A$14,'Emission Factors'!$B$12:$B$14,0,0,1)*_xlfn.XLOOKUP($E81,'Emission Factors'!$A$21:$A$23,'Emission Factors'!$B$21:$B$23,0,0,1)/1000000</f>
        <v>62287.263000000006</v>
      </c>
      <c r="V81" s="47">
        <f t="shared" si="9"/>
        <v>62287.263000000006</v>
      </c>
      <c r="W81" s="47">
        <f t="shared" si="10"/>
        <v>62287.263000000006</v>
      </c>
    </row>
    <row r="82" spans="1:23" x14ac:dyDescent="0.25">
      <c r="A82" s="39" t="s">
        <v>54</v>
      </c>
      <c r="B82" s="40">
        <v>3840</v>
      </c>
      <c r="C82" s="26">
        <v>32417</v>
      </c>
      <c r="D82" s="27">
        <v>32417</v>
      </c>
      <c r="E82" s="41" t="s">
        <v>67</v>
      </c>
      <c r="F82" s="42" t="s">
        <v>76</v>
      </c>
      <c r="G82" s="43">
        <f>G45*_xlfn.XLOOKUP($E82,'Emission Factors'!$A$12:$A$14,'Emission Factors'!$B$12:$B$14,0,0,1)*_xlfn.XLOOKUP($E82,'Emission Factors'!$A$21:$A$23,'Emission Factors'!$B$21:$B$23,0,0,1)/1000000</f>
        <v>28138477.507636379</v>
      </c>
      <c r="H82" s="43">
        <f>H45*_xlfn.XLOOKUP($E82,'Emission Factors'!$A$12:$A$14,'Emission Factors'!$B$12:$B$14,0,0,1)*_xlfn.XLOOKUP($E82,'Emission Factors'!$A$21:$A$23,'Emission Factors'!$B$21:$B$23,0,0,1)/1000000</f>
        <v>29555008.555276655</v>
      </c>
      <c r="I82" s="43">
        <f>I45*_xlfn.XLOOKUP($E82,'Emission Factors'!$A$12:$A$14,'Emission Factors'!$B$12:$B$14,0,0,1)*_xlfn.XLOOKUP($E82,'Emission Factors'!$A$21:$A$23,'Emission Factors'!$B$21:$B$23,0,0,1)/1000000</f>
        <v>28530953.103268899</v>
      </c>
      <c r="J82" s="43">
        <f>J45*_xlfn.XLOOKUP($E82,'Emission Factors'!$A$12:$A$14,'Emission Factors'!$B$12:$B$14,0,0,1)*_xlfn.XLOOKUP($E82,'Emission Factors'!$A$21:$A$23,'Emission Factors'!$B$21:$B$23,0,0,1)/1000000</f>
        <v>30021992.839183956</v>
      </c>
      <c r="K82" s="43">
        <f>K45*_xlfn.XLOOKUP($E82,'Emission Factors'!$A$12:$A$14,'Emission Factors'!$B$12:$B$14,0,0,1)*_xlfn.XLOOKUP($E82,'Emission Factors'!$A$21:$A$23,'Emission Factors'!$B$21:$B$23,0,0,1)/1000000</f>
        <v>26013677.2275232</v>
      </c>
      <c r="L82" s="43">
        <f>L45*_xlfn.XLOOKUP($E82,'Emission Factors'!$A$12:$A$14,'Emission Factors'!$B$12:$B$14,0,0,1)*_xlfn.XLOOKUP($E82,'Emission Factors'!$A$21:$A$23,'Emission Factors'!$B$21:$B$23,0,0,1)/1000000</f>
        <v>27468531.638458934</v>
      </c>
      <c r="M82" s="43">
        <f>M45*_xlfn.XLOOKUP($E82,'Emission Factors'!$A$12:$A$14,'Emission Factors'!$B$12:$B$14,0,0,1)*_xlfn.XLOOKUP($E82,'Emission Factors'!$A$21:$A$23,'Emission Factors'!$B$21:$B$23,0,0,1)/1000000</f>
        <v>25231385.140287079</v>
      </c>
      <c r="N82" s="43">
        <f>N45*_xlfn.XLOOKUP($E82,'Emission Factors'!$A$12:$A$14,'Emission Factors'!$B$12:$B$14,0,0,1)*_xlfn.XLOOKUP($E82,'Emission Factors'!$A$21:$A$23,'Emission Factors'!$B$21:$B$23,0,0,1)/1000000</f>
        <v>29689308.143348157</v>
      </c>
      <c r="O82" s="43">
        <f>O45*_xlfn.XLOOKUP($E82,'Emission Factors'!$A$12:$A$14,'Emission Factors'!$B$12:$B$14,0,0,1)*_xlfn.XLOOKUP($E82,'Emission Factors'!$A$21:$A$23,'Emission Factors'!$B$21:$B$23,0,0,1)/1000000</f>
        <v>24763976.215638757</v>
      </c>
      <c r="P82" s="43">
        <f>P45*_xlfn.XLOOKUP($E82,'Emission Factors'!$A$12:$A$14,'Emission Factors'!$B$12:$B$14,0,0,1)*_xlfn.XLOOKUP($E82,'Emission Factors'!$A$21:$A$23,'Emission Factors'!$B$21:$B$23,0,0,1)/1000000</f>
        <v>20936820.873998478</v>
      </c>
      <c r="Q82" s="43">
        <f>Q45*_xlfn.XLOOKUP($E82,'Emission Factors'!$A$12:$A$14,'Emission Factors'!$B$12:$B$14,0,0,1)*_xlfn.XLOOKUP($E82,'Emission Factors'!$A$21:$A$23,'Emission Factors'!$B$21:$B$23,0,0,1)/1000000</f>
        <v>17193900.162496079</v>
      </c>
      <c r="R82" s="43">
        <f>R45*_xlfn.XLOOKUP($E82,'Emission Factors'!$A$12:$A$14,'Emission Factors'!$B$12:$B$14,0,0,1)*_xlfn.XLOOKUP($E82,'Emission Factors'!$A$21:$A$23,'Emission Factors'!$B$21:$B$23,0,0,1)/1000000</f>
        <v>17361084.374590497</v>
      </c>
      <c r="S82" s="43">
        <f>S45*_xlfn.XLOOKUP($E82,'Emission Factors'!$A$12:$A$14,'Emission Factors'!$B$12:$B$14,0,0,1)*_xlfn.XLOOKUP($E82,'Emission Factors'!$A$21:$A$23,'Emission Factors'!$B$21:$B$23,0,0,1)/1000000</f>
        <v>17423246.957827237</v>
      </c>
      <c r="T82" s="43">
        <f>T45*_xlfn.XLOOKUP($E82,'Emission Factors'!$A$12:$A$14,'Emission Factors'!$B$12:$B$14,0,0,1)*_xlfn.XLOOKUP($E82,'Emission Factors'!$A$21:$A$23,'Emission Factors'!$B$21:$B$23,0,0,1)/1000000</f>
        <v>14300835.774211479</v>
      </c>
      <c r="V82" s="47">
        <f t="shared" si="9"/>
        <v>16361722.368876405</v>
      </c>
      <c r="W82" s="47">
        <f t="shared" si="10"/>
        <v>14300835.774211479</v>
      </c>
    </row>
    <row r="83" spans="1:23" x14ac:dyDescent="0.25">
      <c r="A83" s="39" t="s">
        <v>54</v>
      </c>
      <c r="B83" s="40"/>
      <c r="C83" s="26"/>
      <c r="D83" s="27"/>
      <c r="E83" s="41" t="s">
        <v>229</v>
      </c>
      <c r="F83" s="42"/>
      <c r="G83" s="43"/>
      <c r="H83" s="43"/>
      <c r="I83" s="43"/>
      <c r="J83" s="43"/>
      <c r="K83" s="43"/>
      <c r="L83" s="43"/>
      <c r="M83" s="43"/>
      <c r="N83" s="43"/>
      <c r="O83" s="43"/>
      <c r="P83" s="43"/>
      <c r="Q83" s="43"/>
      <c r="R83" s="43"/>
      <c r="S83" s="43"/>
      <c r="T83" s="43">
        <f>T46*_xlfn.XLOOKUP($E83,'Emission Factors'!$A$12:$A$14,'Emission Factors'!$B$12:$B$14,0,0,1)*_xlfn.XLOOKUP($E83,'Emission Factors'!$A$21:$A$23,'Emission Factors'!$B$21:$B$23,0,0,1)/1000000</f>
        <v>376792.17839999998</v>
      </c>
      <c r="V83" s="47">
        <f t="shared" si="9"/>
        <v>376792.17839999998</v>
      </c>
      <c r="W83" s="47">
        <f t="shared" si="10"/>
        <v>376792.17839999998</v>
      </c>
    </row>
    <row r="84" spans="1:23" x14ac:dyDescent="0.25">
      <c r="A84" s="39" t="s">
        <v>55</v>
      </c>
      <c r="B84" s="40">
        <v>3807</v>
      </c>
      <c r="C84" s="26">
        <v>35156</v>
      </c>
      <c r="D84" s="27">
        <v>35156</v>
      </c>
      <c r="E84" s="41" t="s">
        <v>67</v>
      </c>
      <c r="F84" s="42" t="s">
        <v>76</v>
      </c>
      <c r="G84" s="43">
        <f>G47*_xlfn.XLOOKUP($E84,'Emission Factors'!$A$12:$A$14,'Emission Factors'!$B$12:$B$14,0,0,1)*_xlfn.XLOOKUP($E84,'Emission Factors'!$A$21:$A$23,'Emission Factors'!$B$21:$B$23,0,0,1)/1000000</f>
        <v>24144278.882706556</v>
      </c>
      <c r="H84" s="43">
        <f>H47*_xlfn.XLOOKUP($E84,'Emission Factors'!$A$12:$A$14,'Emission Factors'!$B$12:$B$14,0,0,1)*_xlfn.XLOOKUP($E84,'Emission Factors'!$A$21:$A$23,'Emission Factors'!$B$21:$B$23,0,0,1)/1000000</f>
        <v>25087648.885267757</v>
      </c>
      <c r="I84" s="43">
        <f>I47*_xlfn.XLOOKUP($E84,'Emission Factors'!$A$12:$A$14,'Emission Factors'!$B$12:$B$14,0,0,1)*_xlfn.XLOOKUP($E84,'Emission Factors'!$A$21:$A$23,'Emission Factors'!$B$21:$B$23,0,0,1)/1000000</f>
        <v>24606313.969505638</v>
      </c>
      <c r="J84" s="43">
        <f>J47*_xlfn.XLOOKUP($E84,'Emission Factors'!$A$12:$A$14,'Emission Factors'!$B$12:$B$14,0,0,1)*_xlfn.XLOOKUP($E84,'Emission Factors'!$A$21:$A$23,'Emission Factors'!$B$21:$B$23,0,0,1)/1000000</f>
        <v>24269062.067795899</v>
      </c>
      <c r="K84" s="43">
        <f>K47*_xlfn.XLOOKUP($E84,'Emission Factors'!$A$12:$A$14,'Emission Factors'!$B$12:$B$14,0,0,1)*_xlfn.XLOOKUP($E84,'Emission Factors'!$A$21:$A$23,'Emission Factors'!$B$21:$B$23,0,0,1)/1000000</f>
        <v>23991996.037401818</v>
      </c>
      <c r="L84" s="43">
        <f>L47*_xlfn.XLOOKUP($E84,'Emission Factors'!$A$12:$A$14,'Emission Factors'!$B$12:$B$14,0,0,1)*_xlfn.XLOOKUP($E84,'Emission Factors'!$A$21:$A$23,'Emission Factors'!$B$21:$B$23,0,0,1)/1000000</f>
        <v>21245017.335659999</v>
      </c>
      <c r="M84" s="43">
        <f>M47*_xlfn.XLOOKUP($E84,'Emission Factors'!$A$12:$A$14,'Emission Factors'!$B$12:$B$14,0,0,1)*_xlfn.XLOOKUP($E84,'Emission Factors'!$A$21:$A$23,'Emission Factors'!$B$21:$B$23,0,0,1)/1000000</f>
        <v>21652030.850111719</v>
      </c>
      <c r="N84" s="43">
        <f>N47*_xlfn.XLOOKUP($E84,'Emission Factors'!$A$12:$A$14,'Emission Factors'!$B$12:$B$14,0,0,1)*_xlfn.XLOOKUP($E84,'Emission Factors'!$A$21:$A$23,'Emission Factors'!$B$21:$B$23,0,0,1)/1000000</f>
        <v>25241949.237673938</v>
      </c>
      <c r="O84" s="43">
        <f>O47*_xlfn.XLOOKUP($E84,'Emission Factors'!$A$12:$A$14,'Emission Factors'!$B$12:$B$14,0,0,1)*_xlfn.XLOOKUP($E84,'Emission Factors'!$A$21:$A$23,'Emission Factors'!$B$21:$B$23,0,0,1)/1000000</f>
        <v>25398102.062133737</v>
      </c>
      <c r="P84" s="43">
        <f>P47*_xlfn.XLOOKUP($E84,'Emission Factors'!$A$12:$A$14,'Emission Factors'!$B$12:$B$14,0,0,1)*_xlfn.XLOOKUP($E84,'Emission Factors'!$A$21:$A$23,'Emission Factors'!$B$21:$B$23,0,0,1)/1000000</f>
        <v>22775526.408573359</v>
      </c>
      <c r="Q84" s="43">
        <f>Q47*_xlfn.XLOOKUP($E84,'Emission Factors'!$A$12:$A$14,'Emission Factors'!$B$12:$B$14,0,0,1)*_xlfn.XLOOKUP($E84,'Emission Factors'!$A$21:$A$23,'Emission Factors'!$B$21:$B$23,0,0,1)/1000000</f>
        <v>23685481.449766956</v>
      </c>
      <c r="R84" s="43">
        <f>R47*_xlfn.XLOOKUP($E84,'Emission Factors'!$A$12:$A$14,'Emission Factors'!$B$12:$B$14,0,0,1)*_xlfn.XLOOKUP($E84,'Emission Factors'!$A$21:$A$23,'Emission Factors'!$B$21:$B$23,0,0,1)/1000000</f>
        <v>22112272.803301338</v>
      </c>
      <c r="S84" s="43">
        <f>S47*_xlfn.XLOOKUP($E84,'Emission Factors'!$A$12:$A$14,'Emission Factors'!$B$12:$B$14,0,0,1)*_xlfn.XLOOKUP($E84,'Emission Factors'!$A$21:$A$23,'Emission Factors'!$B$21:$B$23,0,0,1)/1000000</f>
        <v>18230162.645063378</v>
      </c>
      <c r="T84" s="43">
        <f>T47*_xlfn.XLOOKUP($E84,'Emission Factors'!$A$12:$A$14,'Emission Factors'!$B$12:$B$14,0,0,1)*_xlfn.XLOOKUP($E84,'Emission Factors'!$A$21:$A$23,'Emission Factors'!$B$21:$B$23,0,0,1)/1000000</f>
        <v>20961576.131171476</v>
      </c>
      <c r="V84" s="47">
        <f t="shared" si="9"/>
        <v>20434670.526512068</v>
      </c>
      <c r="W84" s="47">
        <f t="shared" si="10"/>
        <v>20961576.131171476</v>
      </c>
    </row>
    <row r="85" spans="1:23" x14ac:dyDescent="0.25">
      <c r="A85" s="39" t="s">
        <v>55</v>
      </c>
      <c r="B85" s="40"/>
      <c r="C85" s="26"/>
      <c r="D85" s="27"/>
      <c r="E85" s="41" t="s">
        <v>229</v>
      </c>
      <c r="F85" s="42"/>
      <c r="G85" s="43"/>
      <c r="H85" s="43"/>
      <c r="I85" s="43"/>
      <c r="J85" s="43"/>
      <c r="K85" s="43"/>
      <c r="L85" s="43"/>
      <c r="M85" s="43"/>
      <c r="N85" s="43"/>
      <c r="O85" s="43"/>
      <c r="P85" s="43"/>
      <c r="Q85" s="43"/>
      <c r="R85" s="43"/>
      <c r="S85" s="43"/>
      <c r="T85" s="43">
        <f>T48*_xlfn.XLOOKUP($E85,'Emission Factors'!$A$12:$A$14,'Emission Factors'!$B$12:$B$14,0,0,1)*_xlfn.XLOOKUP($E85,'Emission Factors'!$A$21:$A$23,'Emission Factors'!$B$21:$B$23,0,0,1)/1000000</f>
        <v>65924.985600000015</v>
      </c>
      <c r="V85" s="47">
        <f t="shared" si="9"/>
        <v>65924.985600000015</v>
      </c>
      <c r="W85" s="47">
        <f t="shared" si="10"/>
        <v>65924.985600000015</v>
      </c>
    </row>
    <row r="86" spans="1:23" x14ac:dyDescent="0.25">
      <c r="A86" s="39" t="s">
        <v>56</v>
      </c>
      <c r="B86" s="40">
        <v>1481</v>
      </c>
      <c r="C86" s="26">
        <v>24685</v>
      </c>
      <c r="D86" s="27">
        <v>38412</v>
      </c>
      <c r="E86" s="41" t="s">
        <v>67</v>
      </c>
      <c r="F86" s="42" t="s">
        <v>76</v>
      </c>
      <c r="G86" s="43">
        <f>G49*_xlfn.XLOOKUP($E86,'Emission Factors'!$A$12:$A$14,'Emission Factors'!$B$12:$B$14,0,0,1)*_xlfn.XLOOKUP($E86,'Emission Factors'!$A$21:$A$23,'Emission Factors'!$B$21:$B$23,0,0,1)/1000000</f>
        <v>8585091.6640479378</v>
      </c>
      <c r="H86" s="43">
        <f>H49*_xlfn.XLOOKUP($E86,'Emission Factors'!$A$12:$A$14,'Emission Factors'!$B$12:$B$14,0,0,1)*_xlfn.XLOOKUP($E86,'Emission Factors'!$A$21:$A$23,'Emission Factors'!$B$21:$B$23,0,0,1)/1000000</f>
        <v>8028235.5978075583</v>
      </c>
      <c r="I86" s="43">
        <f>I49*_xlfn.XLOOKUP($E86,'Emission Factors'!$A$12:$A$14,'Emission Factors'!$B$12:$B$14,0,0,1)*_xlfn.XLOOKUP($E86,'Emission Factors'!$A$21:$A$23,'Emission Factors'!$B$21:$B$23,0,0,1)/1000000</f>
        <v>15538863.801533816</v>
      </c>
      <c r="J86" s="43">
        <f>J49*_xlfn.XLOOKUP($E86,'Emission Factors'!$A$12:$A$14,'Emission Factors'!$B$12:$B$14,0,0,1)*_xlfn.XLOOKUP($E86,'Emission Factors'!$A$21:$A$23,'Emission Factors'!$B$21:$B$23,0,0,1)/1000000</f>
        <v>9824059.8348449394</v>
      </c>
      <c r="K86" s="43">
        <f>K49*_xlfn.XLOOKUP($E86,'Emission Factors'!$A$12:$A$14,'Emission Factors'!$B$12:$B$14,0,0,1)*_xlfn.XLOOKUP($E86,'Emission Factors'!$A$21:$A$23,'Emission Factors'!$B$21:$B$23,0,0,1)/1000000</f>
        <v>9409341.5942843184</v>
      </c>
      <c r="L86" s="43">
        <f>L49*_xlfn.XLOOKUP($E86,'Emission Factors'!$A$12:$A$14,'Emission Factors'!$B$12:$B$14,0,0,1)*_xlfn.XLOOKUP($E86,'Emission Factors'!$A$21:$A$23,'Emission Factors'!$B$21:$B$23,0,0,1)/1000000</f>
        <v>8456970.6914745998</v>
      </c>
      <c r="M86" s="43">
        <f>M49*_xlfn.XLOOKUP($E86,'Emission Factors'!$A$12:$A$14,'Emission Factors'!$B$12:$B$14,0,0,1)*_xlfn.XLOOKUP($E86,'Emission Factors'!$A$21:$A$23,'Emission Factors'!$B$21:$B$23,0,0,1)/1000000</f>
        <v>8331022.9894186193</v>
      </c>
      <c r="N86" s="43">
        <f>N49*_xlfn.XLOOKUP($E86,'Emission Factors'!$A$12:$A$14,'Emission Factors'!$B$12:$B$14,0,0,1)*_xlfn.XLOOKUP($E86,'Emission Factors'!$A$21:$A$23,'Emission Factors'!$B$21:$B$23,0,0,1)/1000000</f>
        <v>7292846.8420271585</v>
      </c>
      <c r="O86" s="43">
        <f>O49*_xlfn.XLOOKUP($E86,'Emission Factors'!$A$12:$A$14,'Emission Factors'!$B$12:$B$14,0,0,1)*_xlfn.XLOOKUP($E86,'Emission Factors'!$A$21:$A$23,'Emission Factors'!$B$21:$B$23,0,0,1)/1000000</f>
        <v>8240672.7908795001</v>
      </c>
      <c r="P86" s="43">
        <f>P49*_xlfn.XLOOKUP($E86,'Emission Factors'!$A$12:$A$14,'Emission Factors'!$B$12:$B$14,0,0,1)*_xlfn.XLOOKUP($E86,'Emission Factors'!$A$21:$A$23,'Emission Factors'!$B$21:$B$23,0,0,1)/1000000</f>
        <v>6077178.2821948593</v>
      </c>
      <c r="Q86" s="43">
        <f>Q49*_xlfn.XLOOKUP($E86,'Emission Factors'!$A$12:$A$14,'Emission Factors'!$B$12:$B$14,0,0,1)*_xlfn.XLOOKUP($E86,'Emission Factors'!$A$21:$A$23,'Emission Factors'!$B$21:$B$23,0,0,1)/1000000</f>
        <v>2910587.7725755996</v>
      </c>
      <c r="R86" s="43">
        <f>R49*_xlfn.XLOOKUP($E86,'Emission Factors'!$A$12:$A$14,'Emission Factors'!$B$12:$B$14,0,0,1)*_xlfn.XLOOKUP($E86,'Emission Factors'!$A$21:$A$23,'Emission Factors'!$B$21:$B$23,0,0,1)/1000000</f>
        <v>7291626.695269119</v>
      </c>
      <c r="S86" s="43">
        <f>S49*_xlfn.XLOOKUP($E86,'Emission Factors'!$A$12:$A$14,'Emission Factors'!$B$12:$B$14,0,0,1)*_xlfn.XLOOKUP($E86,'Emission Factors'!$A$21:$A$23,'Emission Factors'!$B$21:$B$23,0,0,1)/1000000</f>
        <v>7657151.5112947198</v>
      </c>
      <c r="T86" s="43">
        <f>T49*_xlfn.XLOOKUP($E86,'Emission Factors'!$A$12:$A$14,'Emission Factors'!$B$12:$B$14,0,0,1)*_xlfn.XLOOKUP($E86,'Emission Factors'!$A$21:$A$23,'Emission Factors'!$B$21:$B$23,0,0,1)/1000000</f>
        <v>8164061.2964897994</v>
      </c>
      <c r="V86" s="47">
        <f t="shared" si="9"/>
        <v>7704279.8343512118</v>
      </c>
      <c r="W86" s="47">
        <f t="shared" si="10"/>
        <v>8164061.2964897994</v>
      </c>
    </row>
    <row r="87" spans="1:23" x14ac:dyDescent="0.25">
      <c r="A87" s="39" t="s">
        <v>56</v>
      </c>
      <c r="B87" s="40"/>
      <c r="C87" s="26"/>
      <c r="D87" s="27"/>
      <c r="E87" s="41" t="s">
        <v>229</v>
      </c>
      <c r="F87" s="42"/>
      <c r="G87" s="43"/>
      <c r="H87" s="43"/>
      <c r="I87" s="43"/>
      <c r="J87" s="43"/>
      <c r="K87" s="43"/>
      <c r="L87" s="43"/>
      <c r="M87" s="43"/>
      <c r="N87" s="43"/>
      <c r="O87" s="43"/>
      <c r="P87" s="43"/>
      <c r="Q87" s="43"/>
      <c r="R87" s="43"/>
      <c r="S87" s="43"/>
      <c r="T87" s="43">
        <f>T50*_xlfn.XLOOKUP($E87,'Emission Factors'!$A$12:$A$14,'Emission Factors'!$B$12:$B$14,0,0,1)*_xlfn.XLOOKUP($E87,'Emission Factors'!$A$21:$A$23,'Emission Factors'!$B$21:$B$23,0,0,1)/1000000</f>
        <v>188812.11420000001</v>
      </c>
      <c r="V87" s="47">
        <f t="shared" si="9"/>
        <v>188812.11420000001</v>
      </c>
      <c r="W87" s="47">
        <f t="shared" si="10"/>
        <v>188812.11420000001</v>
      </c>
    </row>
    <row r="88" spans="1:23" x14ac:dyDescent="0.25">
      <c r="A88" s="39" t="s">
        <v>57</v>
      </c>
      <c r="B88" s="40">
        <v>1327</v>
      </c>
      <c r="C88" s="26">
        <v>39142</v>
      </c>
      <c r="D88" s="27">
        <v>39142</v>
      </c>
      <c r="E88" s="41" t="s">
        <v>78</v>
      </c>
      <c r="F88" s="42" t="s">
        <v>76</v>
      </c>
      <c r="G88" s="43">
        <f>G51*_xlfn.XLOOKUP($E88,'Emission Factors'!$A$12:$A$14,'Emission Factors'!$B$12:$B$14,0,0,1)*_xlfn.XLOOKUP($E88,'Emission Factors'!$A$21:$A$23,'Emission Factors'!$B$21:$B$23,0,0,1)/1000000</f>
        <v>108656.39346899999</v>
      </c>
      <c r="H88" s="43">
        <f>H51*_xlfn.XLOOKUP($E88,'Emission Factors'!$A$12:$A$14,'Emission Factors'!$B$12:$B$14,0,0,1)*_xlfn.XLOOKUP($E88,'Emission Factors'!$A$21:$A$23,'Emission Factors'!$B$21:$B$23,0,0,1)/1000000</f>
        <v>320542.13479079999</v>
      </c>
      <c r="I88" s="43">
        <f>I51*_xlfn.XLOOKUP($E88,'Emission Factors'!$A$12:$A$14,'Emission Factors'!$B$12:$B$14,0,0,1)*_xlfn.XLOOKUP($E88,'Emission Factors'!$A$21:$A$23,'Emission Factors'!$B$21:$B$23,0,0,1)/1000000</f>
        <v>1031702.4018346498</v>
      </c>
      <c r="J88" s="43">
        <f>J51*_xlfn.XLOOKUP($E88,'Emission Factors'!$A$12:$A$14,'Emission Factors'!$B$12:$B$14,0,0,1)*_xlfn.XLOOKUP($E88,'Emission Factors'!$A$21:$A$23,'Emission Factors'!$B$21:$B$23,0,0,1)/1000000</f>
        <v>1953331.9063752</v>
      </c>
      <c r="K88" s="43">
        <f>K51*_xlfn.XLOOKUP($E88,'Emission Factors'!$A$12:$A$14,'Emission Factors'!$B$12:$B$14,0,0,1)*_xlfn.XLOOKUP($E88,'Emission Factors'!$A$21:$A$23,'Emission Factors'!$B$21:$B$23,0,0,1)/1000000</f>
        <v>1987215.8709838497</v>
      </c>
      <c r="L88" s="43">
        <f>L51*_xlfn.XLOOKUP($E88,'Emission Factors'!$A$12:$A$14,'Emission Factors'!$B$12:$B$14,0,0,1)*_xlfn.XLOOKUP($E88,'Emission Factors'!$A$21:$A$23,'Emission Factors'!$B$21:$B$23,0,0,1)/1000000</f>
        <v>2084897.79925245</v>
      </c>
      <c r="M88" s="43">
        <f>M51*_xlfn.XLOOKUP($E88,'Emission Factors'!$A$12:$A$14,'Emission Factors'!$B$12:$B$14,0,0,1)*_xlfn.XLOOKUP($E88,'Emission Factors'!$A$21:$A$23,'Emission Factors'!$B$21:$B$23,0,0,1)/1000000</f>
        <v>16898.469061499996</v>
      </c>
      <c r="N88" s="43">
        <f>N51*_xlfn.XLOOKUP($E88,'Emission Factors'!$A$12:$A$14,'Emission Factors'!$B$12:$B$14,0,0,1)*_xlfn.XLOOKUP($E88,'Emission Factors'!$A$21:$A$23,'Emission Factors'!$B$21:$B$23,0,0,1)/1000000</f>
        <v>50768.728504649996</v>
      </c>
      <c r="O88" s="43">
        <f>O51*_xlfn.XLOOKUP($E88,'Emission Factors'!$A$12:$A$14,'Emission Factors'!$B$12:$B$14,0,0,1)*_xlfn.XLOOKUP($E88,'Emission Factors'!$A$21:$A$23,'Emission Factors'!$B$21:$B$23,0,0,1)/1000000</f>
        <v>596551.45188209997</v>
      </c>
      <c r="P88" s="43">
        <f>P51*_xlfn.XLOOKUP($E88,'Emission Factors'!$A$12:$A$14,'Emission Factors'!$B$12:$B$14,0,0,1)*_xlfn.XLOOKUP($E88,'Emission Factors'!$A$21:$A$23,'Emission Factors'!$B$21:$B$23,0,0,1)/1000000</f>
        <v>678923.15037104988</v>
      </c>
      <c r="Q88" s="43">
        <f>Q51*_xlfn.XLOOKUP($E88,'Emission Factors'!$A$12:$A$14,'Emission Factors'!$B$12:$B$14,0,0,1)*_xlfn.XLOOKUP($E88,'Emission Factors'!$A$21:$A$23,'Emission Factors'!$B$21:$B$23,0,0,1)/1000000</f>
        <v>585077.51100045</v>
      </c>
      <c r="R88" s="43">
        <f>R51*_xlfn.XLOOKUP($E88,'Emission Factors'!$A$12:$A$14,'Emission Factors'!$B$12:$B$14,0,0,1)*_xlfn.XLOOKUP($E88,'Emission Factors'!$A$21:$A$23,'Emission Factors'!$B$21:$B$23,0,0,1)/1000000</f>
        <v>790970.82522509992</v>
      </c>
      <c r="S88" s="43">
        <f>S51*_xlfn.XLOOKUP($E88,'Emission Factors'!$A$12:$A$14,'Emission Factors'!$B$12:$B$14,0,0,1)*_xlfn.XLOOKUP($E88,'Emission Factors'!$A$21:$A$23,'Emission Factors'!$B$21:$B$23,0,0,1)/1000000</f>
        <v>1101175.1326348498</v>
      </c>
      <c r="T88" s="43">
        <f>T51*_xlfn.XLOOKUP($E88,'Emission Factors'!$A$12:$A$14,'Emission Factors'!$B$12:$B$14,0,0,1)*_xlfn.XLOOKUP($E88,'Emission Factors'!$A$21:$A$23,'Emission Factors'!$B$21:$B$23,0,0,1)/1000000</f>
        <v>1335864.91198485</v>
      </c>
      <c r="V88" s="47">
        <f t="shared" si="9"/>
        <v>1076003.6232816</v>
      </c>
      <c r="W88" s="47">
        <f t="shared" si="10"/>
        <v>1335864.91198485</v>
      </c>
    </row>
    <row r="89" spans="1:23" x14ac:dyDescent="0.25">
      <c r="A89" s="39" t="s">
        <v>58</v>
      </c>
      <c r="B89" s="40">
        <v>740</v>
      </c>
      <c r="C89" s="26">
        <v>39264</v>
      </c>
      <c r="D89" s="27">
        <v>39264</v>
      </c>
      <c r="E89" s="41" t="s">
        <v>78</v>
      </c>
      <c r="F89" s="42" t="s">
        <v>76</v>
      </c>
      <c r="G89" s="43">
        <f>G52*_xlfn.XLOOKUP($E89,'Emission Factors'!$A$12:$A$14,'Emission Factors'!$B$12:$B$14,0,0,1)*_xlfn.XLOOKUP($E89,'Emission Factors'!$A$21:$A$23,'Emission Factors'!$B$21:$B$23,0,0,1)/1000000</f>
        <v>50359.483318949999</v>
      </c>
      <c r="H89" s="43">
        <f>H52*_xlfn.XLOOKUP($E89,'Emission Factors'!$A$12:$A$14,'Emission Factors'!$B$12:$B$14,0,0,1)*_xlfn.XLOOKUP($E89,'Emission Factors'!$A$21:$A$23,'Emission Factors'!$B$21:$B$23,0,0,1)/1000000</f>
        <v>252969.45025559998</v>
      </c>
      <c r="I89" s="43">
        <f>I52*_xlfn.XLOOKUP($E89,'Emission Factors'!$A$12:$A$14,'Emission Factors'!$B$12:$B$14,0,0,1)*_xlfn.XLOOKUP($E89,'Emission Factors'!$A$21:$A$23,'Emission Factors'!$B$21:$B$23,0,0,1)/1000000</f>
        <v>531987.86401409993</v>
      </c>
      <c r="J89" s="43">
        <f>J52*_xlfn.XLOOKUP($E89,'Emission Factors'!$A$12:$A$14,'Emission Factors'!$B$12:$B$14,0,0,1)*_xlfn.XLOOKUP($E89,'Emission Factors'!$A$21:$A$23,'Emission Factors'!$B$21:$B$23,0,0,1)/1000000</f>
        <v>899766.55103594996</v>
      </c>
      <c r="K89" s="43">
        <f>K52*_xlfn.XLOOKUP($E89,'Emission Factors'!$A$12:$A$14,'Emission Factors'!$B$12:$B$14,0,0,1)*_xlfn.XLOOKUP($E89,'Emission Factors'!$A$21:$A$23,'Emission Factors'!$B$21:$B$23,0,0,1)/1000000</f>
        <v>976060.44266639987</v>
      </c>
      <c r="L89" s="43">
        <f>L52*_xlfn.XLOOKUP($E89,'Emission Factors'!$A$12:$A$14,'Emission Factors'!$B$12:$B$14,0,0,1)*_xlfn.XLOOKUP($E89,'Emission Factors'!$A$21:$A$23,'Emission Factors'!$B$21:$B$23,0,0,1)/1000000</f>
        <v>1073818.7147571</v>
      </c>
      <c r="M89" s="43">
        <f>M52*_xlfn.XLOOKUP($E89,'Emission Factors'!$A$12:$A$14,'Emission Factors'!$B$12:$B$14,0,0,1)*_xlfn.XLOOKUP($E89,'Emission Factors'!$A$21:$A$23,'Emission Factors'!$B$21:$B$23,0,0,1)/1000000</f>
        <v>9556.0910542500005</v>
      </c>
      <c r="N89" s="43">
        <f>N52*_xlfn.XLOOKUP($E89,'Emission Factors'!$A$12:$A$14,'Emission Factors'!$B$12:$B$14,0,0,1)*_xlfn.XLOOKUP($E89,'Emission Factors'!$A$21:$A$23,'Emission Factors'!$B$21:$B$23,0,0,1)/1000000</f>
        <v>44666.838960899993</v>
      </c>
      <c r="O89" s="43">
        <f>O52*_xlfn.XLOOKUP($E89,'Emission Factors'!$A$12:$A$14,'Emission Factors'!$B$12:$B$14,0,0,1)*_xlfn.XLOOKUP($E89,'Emission Factors'!$A$21:$A$23,'Emission Factors'!$B$21:$B$23,0,0,1)/1000000</f>
        <v>331545.75437684997</v>
      </c>
      <c r="P89" s="43">
        <f>P52*_xlfn.XLOOKUP($E89,'Emission Factors'!$A$12:$A$14,'Emission Factors'!$B$12:$B$14,0,0,1)*_xlfn.XLOOKUP($E89,'Emission Factors'!$A$21:$A$23,'Emission Factors'!$B$21:$B$23,0,0,1)/1000000</f>
        <v>417230.33333864994</v>
      </c>
      <c r="Q89" s="43">
        <f>Q52*_xlfn.XLOOKUP($E89,'Emission Factors'!$A$12:$A$14,'Emission Factors'!$B$12:$B$14,0,0,1)*_xlfn.XLOOKUP($E89,'Emission Factors'!$A$21:$A$23,'Emission Factors'!$B$21:$B$23,0,0,1)/1000000</f>
        <v>618196.52482185001</v>
      </c>
      <c r="R89" s="43">
        <f>R52*_xlfn.XLOOKUP($E89,'Emission Factors'!$A$12:$A$14,'Emission Factors'!$B$12:$B$14,0,0,1)*_xlfn.XLOOKUP($E89,'Emission Factors'!$A$21:$A$23,'Emission Factors'!$B$21:$B$23,0,0,1)/1000000</f>
        <v>709079.38888019999</v>
      </c>
      <c r="S89" s="43">
        <f>S52*_xlfn.XLOOKUP($E89,'Emission Factors'!$A$12:$A$14,'Emission Factors'!$B$12:$B$14,0,0,1)*_xlfn.XLOOKUP($E89,'Emission Factors'!$A$21:$A$23,'Emission Factors'!$B$21:$B$23,0,0,1)/1000000</f>
        <v>1356118.5528715497</v>
      </c>
      <c r="T89" s="43">
        <f>T52*_xlfn.XLOOKUP($E89,'Emission Factors'!$A$12:$A$14,'Emission Factors'!$B$12:$B$14,0,0,1)*_xlfn.XLOOKUP($E89,'Emission Factors'!$A$21:$A$23,'Emission Factors'!$B$21:$B$23,0,0,1)/1000000</f>
        <v>1638553.4670979499</v>
      </c>
      <c r="V89" s="47">
        <f t="shared" si="9"/>
        <v>1234583.8029498998</v>
      </c>
      <c r="W89" s="47">
        <f t="shared" si="10"/>
        <v>1638553.4670979499</v>
      </c>
    </row>
    <row r="90" spans="1:23" x14ac:dyDescent="0.25">
      <c r="A90" s="39" t="s">
        <v>59</v>
      </c>
      <c r="B90" s="40">
        <v>570</v>
      </c>
      <c r="C90" s="26">
        <v>25355</v>
      </c>
      <c r="D90" s="27">
        <v>39568</v>
      </c>
      <c r="E90" s="41" t="s">
        <v>67</v>
      </c>
      <c r="F90" s="42" t="s">
        <v>76</v>
      </c>
      <c r="G90" s="43">
        <f>G53*_xlfn.XLOOKUP($E90,'Emission Factors'!$A$12:$A$14,'Emission Factors'!$B$12:$B$14,0,0,1)*_xlfn.XLOOKUP($E90,'Emission Factors'!$A$21:$A$23,'Emission Factors'!$B$21:$B$23,0,0,1)/1000000</f>
        <v>3955239.2276860196</v>
      </c>
      <c r="H90" s="43">
        <f>H53*_xlfn.XLOOKUP($E90,'Emission Factors'!$A$12:$A$14,'Emission Factors'!$B$12:$B$14,0,0,1)*_xlfn.XLOOKUP($E90,'Emission Factors'!$A$21:$A$23,'Emission Factors'!$B$21:$B$23,0,0,1)/1000000</f>
        <v>7087166.8142839391</v>
      </c>
      <c r="I90" s="43">
        <f>I53*_xlfn.XLOOKUP($E90,'Emission Factors'!$A$12:$A$14,'Emission Factors'!$B$12:$B$14,0,0,1)*_xlfn.XLOOKUP($E90,'Emission Factors'!$A$21:$A$23,'Emission Factors'!$B$21:$B$23,0,0,1)/1000000</f>
        <v>10182439.931328399</v>
      </c>
      <c r="J90" s="43">
        <f>J53*_xlfn.XLOOKUP($E90,'Emission Factors'!$A$12:$A$14,'Emission Factors'!$B$12:$B$14,0,0,1)*_xlfn.XLOOKUP($E90,'Emission Factors'!$A$21:$A$23,'Emission Factors'!$B$21:$B$23,0,0,1)/1000000</f>
        <v>8554665.8768048994</v>
      </c>
      <c r="K90" s="43">
        <f>K53*_xlfn.XLOOKUP($E90,'Emission Factors'!$A$12:$A$14,'Emission Factors'!$B$12:$B$14,0,0,1)*_xlfn.XLOOKUP($E90,'Emission Factors'!$A$21:$A$23,'Emission Factors'!$B$21:$B$23,0,0,1)/1000000</f>
        <v>7352079.5895835003</v>
      </c>
      <c r="L90" s="43">
        <f>L53*_xlfn.XLOOKUP($E90,'Emission Factors'!$A$12:$A$14,'Emission Factors'!$B$12:$B$14,0,0,1)*_xlfn.XLOOKUP($E90,'Emission Factors'!$A$21:$A$23,'Emission Factors'!$B$21:$B$23,0,0,1)/1000000</f>
        <v>6107342.6094183195</v>
      </c>
      <c r="M90" s="43">
        <f>M53*_xlfn.XLOOKUP($E90,'Emission Factors'!$A$12:$A$14,'Emission Factors'!$B$12:$B$14,0,0,1)*_xlfn.XLOOKUP($E90,'Emission Factors'!$A$21:$A$23,'Emission Factors'!$B$21:$B$23,0,0,1)/1000000</f>
        <v>5231627.7048314186</v>
      </c>
      <c r="N90" s="43">
        <f>N53*_xlfn.XLOOKUP($E90,'Emission Factors'!$A$12:$A$14,'Emission Factors'!$B$12:$B$14,0,0,1)*_xlfn.XLOOKUP($E90,'Emission Factors'!$A$21:$A$23,'Emission Factors'!$B$21:$B$23,0,0,1)/1000000</f>
        <v>3857920.4706108598</v>
      </c>
      <c r="O90" s="43">
        <f>O53*_xlfn.XLOOKUP($E90,'Emission Factors'!$A$12:$A$14,'Emission Factors'!$B$12:$B$14,0,0,1)*_xlfn.XLOOKUP($E90,'Emission Factors'!$A$21:$A$23,'Emission Factors'!$B$21:$B$23,0,0,1)/1000000</f>
        <v>3032665.4954765197</v>
      </c>
      <c r="P90" s="43">
        <f>P53*_xlfn.XLOOKUP($E90,'Emission Factors'!$A$12:$A$14,'Emission Factors'!$B$12:$B$14,0,0,1)*_xlfn.XLOOKUP($E90,'Emission Factors'!$A$21:$A$23,'Emission Factors'!$B$21:$B$23,0,0,1)/1000000</f>
        <v>3104010.7029470196</v>
      </c>
      <c r="Q90" s="43">
        <f>Q53*_xlfn.XLOOKUP($E90,'Emission Factors'!$A$12:$A$14,'Emission Factors'!$B$12:$B$14,0,0,1)*_xlfn.XLOOKUP($E90,'Emission Factors'!$A$21:$A$23,'Emission Factors'!$B$21:$B$23,0,0,1)/1000000</f>
        <v>3595410.9022997795</v>
      </c>
      <c r="R90" s="43">
        <f>R53*_xlfn.XLOOKUP($E90,'Emission Factors'!$A$12:$A$14,'Emission Factors'!$B$12:$B$14,0,0,1)*_xlfn.XLOOKUP($E90,'Emission Factors'!$A$21:$A$23,'Emission Factors'!$B$21:$B$23,0,0,1)/1000000</f>
        <v>2863578.7445162199</v>
      </c>
      <c r="S90" s="43">
        <f>S53*_xlfn.XLOOKUP($E90,'Emission Factors'!$A$12:$A$14,'Emission Factors'!$B$12:$B$14,0,0,1)*_xlfn.XLOOKUP($E90,'Emission Factors'!$A$21:$A$23,'Emission Factors'!$B$21:$B$23,0,0,1)/1000000</f>
        <v>2815983.7493207599</v>
      </c>
      <c r="T90" s="43">
        <f>T53*_xlfn.XLOOKUP($E90,'Emission Factors'!$A$12:$A$14,'Emission Factors'!$B$12:$B$14,0,0,1)*_xlfn.XLOOKUP($E90,'Emission Factors'!$A$21:$A$23,'Emission Factors'!$B$21:$B$23,0,0,1)/1000000</f>
        <v>1973160.8860622998</v>
      </c>
      <c r="V90" s="47">
        <f t="shared" si="9"/>
        <v>2550907.7932997602</v>
      </c>
      <c r="W90" s="47">
        <f t="shared" si="10"/>
        <v>1973160.8860622998</v>
      </c>
    </row>
    <row r="91" spans="1:23" x14ac:dyDescent="0.25">
      <c r="A91" s="39" t="s">
        <v>59</v>
      </c>
      <c r="B91" s="40"/>
      <c r="C91" s="26"/>
      <c r="D91" s="27"/>
      <c r="E91" s="41" t="s">
        <v>229</v>
      </c>
      <c r="F91" s="42"/>
      <c r="G91" s="43"/>
      <c r="H91" s="43"/>
      <c r="I91" s="43"/>
      <c r="J91" s="43"/>
      <c r="K91" s="43"/>
      <c r="L91" s="43"/>
      <c r="M91" s="43"/>
      <c r="N91" s="43"/>
      <c r="O91" s="43"/>
      <c r="P91" s="43"/>
      <c r="Q91" s="43"/>
      <c r="R91" s="43"/>
      <c r="S91" s="43"/>
      <c r="T91" s="43">
        <f>T54*_xlfn.XLOOKUP($E91,'Emission Factors'!$A$12:$A$14,'Emission Factors'!$B$12:$B$14,0,0,1)*_xlfn.XLOOKUP($E91,'Emission Factors'!$A$21:$A$23,'Emission Factors'!$B$21:$B$23,0,0,1)/1000000</f>
        <v>41915.3508</v>
      </c>
      <c r="V91" s="47">
        <f t="shared" si="9"/>
        <v>41915.3508</v>
      </c>
      <c r="W91" s="47">
        <f t="shared" si="10"/>
        <v>41915.3508</v>
      </c>
    </row>
    <row r="92" spans="1:23" x14ac:dyDescent="0.25">
      <c r="A92" s="39" t="s">
        <v>60</v>
      </c>
      <c r="B92" s="40">
        <v>990</v>
      </c>
      <c r="C92" s="26">
        <v>22591</v>
      </c>
      <c r="D92" s="27">
        <v>39903</v>
      </c>
      <c r="E92" s="41" t="s">
        <v>67</v>
      </c>
      <c r="F92" s="42" t="s">
        <v>76</v>
      </c>
      <c r="G92" s="43">
        <f>G55*_xlfn.XLOOKUP($E92,'Emission Factors'!$A$12:$A$14,'Emission Factors'!$B$12:$B$14,0,0,1)*_xlfn.XLOOKUP($E92,'Emission Factors'!$A$21:$A$23,'Emission Factors'!$B$21:$B$23,0,0,1)/1000000</f>
        <v>2356867.3722437997</v>
      </c>
      <c r="H92" s="43">
        <f>H55*_xlfn.XLOOKUP($E92,'Emission Factors'!$A$12:$A$14,'Emission Factors'!$B$12:$B$14,0,0,1)*_xlfn.XLOOKUP($E92,'Emission Factors'!$A$21:$A$23,'Emission Factors'!$B$21:$B$23,0,0,1)/1000000</f>
        <v>2577858.5729066795</v>
      </c>
      <c r="I92" s="43">
        <f>I55*_xlfn.XLOOKUP($E92,'Emission Factors'!$A$12:$A$14,'Emission Factors'!$B$12:$B$14,0,0,1)*_xlfn.XLOOKUP($E92,'Emission Factors'!$A$21:$A$23,'Emission Factors'!$B$21:$B$23,0,0,1)/1000000</f>
        <v>7610350.1677898997</v>
      </c>
      <c r="J92" s="43">
        <f>J55*_xlfn.XLOOKUP($E92,'Emission Factors'!$A$12:$A$14,'Emission Factors'!$B$12:$B$14,0,0,1)*_xlfn.XLOOKUP($E92,'Emission Factors'!$A$21:$A$23,'Emission Factors'!$B$21:$B$23,0,0,1)/1000000</f>
        <v>5525050.7482234798</v>
      </c>
      <c r="K92" s="43">
        <f>K55*_xlfn.XLOOKUP($E92,'Emission Factors'!$A$12:$A$14,'Emission Factors'!$B$12:$B$14,0,0,1)*_xlfn.XLOOKUP($E92,'Emission Factors'!$A$21:$A$23,'Emission Factors'!$B$21:$B$23,0,0,1)/1000000</f>
        <v>4603157.5537954392</v>
      </c>
      <c r="L92" s="43">
        <f>L55*_xlfn.XLOOKUP($E92,'Emission Factors'!$A$12:$A$14,'Emission Factors'!$B$12:$B$14,0,0,1)*_xlfn.XLOOKUP($E92,'Emission Factors'!$A$21:$A$23,'Emission Factors'!$B$21:$B$23,0,0,1)/1000000</f>
        <v>4626277.2951012794</v>
      </c>
      <c r="M92" s="43">
        <f>M55*_xlfn.XLOOKUP($E92,'Emission Factors'!$A$12:$A$14,'Emission Factors'!$B$12:$B$14,0,0,1)*_xlfn.XLOOKUP($E92,'Emission Factors'!$A$21:$A$23,'Emission Factors'!$B$21:$B$23,0,0,1)/1000000</f>
        <v>4635393.1635853592</v>
      </c>
      <c r="N92" s="43">
        <f>N55*_xlfn.XLOOKUP($E92,'Emission Factors'!$A$12:$A$14,'Emission Factors'!$B$12:$B$14,0,0,1)*_xlfn.XLOOKUP($E92,'Emission Factors'!$A$21:$A$23,'Emission Factors'!$B$21:$B$23,0,0,1)/1000000</f>
        <v>2654384.7682829001</v>
      </c>
      <c r="O92" s="43">
        <f>O55*_xlfn.XLOOKUP($E92,'Emission Factors'!$A$12:$A$14,'Emission Factors'!$B$12:$B$14,0,0,1)*_xlfn.XLOOKUP($E92,'Emission Factors'!$A$21:$A$23,'Emission Factors'!$B$21:$B$23,0,0,1)/1000000</f>
        <v>2249600.1541399392</v>
      </c>
      <c r="P92" s="43">
        <f>P55*_xlfn.XLOOKUP($E92,'Emission Factors'!$A$12:$A$14,'Emission Factors'!$B$12:$B$14,0,0,1)*_xlfn.XLOOKUP($E92,'Emission Factors'!$A$21:$A$23,'Emission Factors'!$B$21:$B$23,0,0,1)/1000000</f>
        <v>1661724.9162149199</v>
      </c>
      <c r="Q92" s="43">
        <f>Q55*_xlfn.XLOOKUP($E92,'Emission Factors'!$A$12:$A$14,'Emission Factors'!$B$12:$B$14,0,0,1)*_xlfn.XLOOKUP($E92,'Emission Factors'!$A$21:$A$23,'Emission Factors'!$B$21:$B$23,0,0,1)/1000000</f>
        <v>745975.10508381994</v>
      </c>
      <c r="R92" s="43">
        <f>R55*_xlfn.XLOOKUP($E92,'Emission Factors'!$A$12:$A$14,'Emission Factors'!$B$12:$B$14,0,0,1)*_xlfn.XLOOKUP($E92,'Emission Factors'!$A$21:$A$23,'Emission Factors'!$B$21:$B$23,0,0,1)/1000000</f>
        <v>622743.9911745399</v>
      </c>
      <c r="S92" s="43">
        <f>S55*_xlfn.XLOOKUP($E92,'Emission Factors'!$A$12:$A$14,'Emission Factors'!$B$12:$B$14,0,0,1)*_xlfn.XLOOKUP($E92,'Emission Factors'!$A$21:$A$23,'Emission Factors'!$B$21:$B$23,0,0,1)/1000000</f>
        <v>367071.32422651997</v>
      </c>
      <c r="T92" s="43">
        <f>T55*_xlfn.XLOOKUP($E92,'Emission Factors'!$A$12:$A$14,'Emission Factors'!$B$12:$B$14,0,0,1)*_xlfn.XLOOKUP($E92,'Emission Factors'!$A$21:$A$23,'Emission Factors'!$B$21:$B$23,0,0,1)/1000000</f>
        <v>0</v>
      </c>
      <c r="V92" s="47">
        <f t="shared" si="9"/>
        <v>329938.43846701994</v>
      </c>
      <c r="W92" s="47">
        <f t="shared" si="10"/>
        <v>0</v>
      </c>
    </row>
    <row r="93" spans="1:23" x14ac:dyDescent="0.25">
      <c r="A93" s="39" t="s">
        <v>60</v>
      </c>
      <c r="B93" s="40"/>
      <c r="C93" s="26"/>
      <c r="D93" s="27"/>
      <c r="E93" s="41" t="s">
        <v>229</v>
      </c>
      <c r="F93" s="42"/>
      <c r="G93" s="43"/>
      <c r="H93" s="43"/>
      <c r="I93" s="43"/>
      <c r="J93" s="43"/>
      <c r="K93" s="43"/>
      <c r="L93" s="43"/>
      <c r="M93" s="43"/>
      <c r="N93" s="43"/>
      <c r="O93" s="43"/>
      <c r="P93" s="43"/>
      <c r="Q93" s="43"/>
      <c r="R93" s="43"/>
      <c r="S93" s="43"/>
      <c r="T93" s="43">
        <f>T56*_xlfn.XLOOKUP($E93,'Emission Factors'!$A$12:$A$14,'Emission Factors'!$B$12:$B$14,0,0,1)*_xlfn.XLOOKUP($E93,'Emission Factors'!$A$21:$A$23,'Emission Factors'!$B$21:$B$23,0,0,1)/1000000</f>
        <v>0</v>
      </c>
      <c r="V93" s="47">
        <f t="shared" si="9"/>
        <v>0</v>
      </c>
      <c r="W93" s="47">
        <f t="shared" si="10"/>
        <v>0</v>
      </c>
    </row>
    <row r="94" spans="1:23" x14ac:dyDescent="0.25">
      <c r="A94" s="39" t="s">
        <v>61</v>
      </c>
      <c r="B94" s="40">
        <v>3600</v>
      </c>
      <c r="C94" s="26">
        <v>42238</v>
      </c>
      <c r="D94" s="27">
        <v>42239</v>
      </c>
      <c r="E94" s="41" t="s">
        <v>67</v>
      </c>
      <c r="F94" s="42" t="s">
        <v>76</v>
      </c>
      <c r="G94" s="43">
        <f>G57*_xlfn.XLOOKUP($E94,'Emission Factors'!$A$12:$A$14,'Emission Factors'!$B$12:$B$14,0,0,1)*_xlfn.XLOOKUP($E94,'Emission Factors'!$A$21:$A$23,'Emission Factors'!$B$21:$B$23,0,0,1)/1000000</f>
        <v>0</v>
      </c>
      <c r="H94" s="43">
        <f>H57*_xlfn.XLOOKUP($E94,'Emission Factors'!$A$12:$A$14,'Emission Factors'!$B$12:$B$14,0,0,1)*_xlfn.XLOOKUP($E94,'Emission Factors'!$A$21:$A$23,'Emission Factors'!$B$21:$B$23,0,0,1)/1000000</f>
        <v>0</v>
      </c>
      <c r="I94" s="43">
        <f>I57*_xlfn.XLOOKUP($E94,'Emission Factors'!$A$12:$A$14,'Emission Factors'!$B$12:$B$14,0,0,1)*_xlfn.XLOOKUP($E94,'Emission Factors'!$A$21:$A$23,'Emission Factors'!$B$21:$B$23,0,0,1)/1000000</f>
        <v>0</v>
      </c>
      <c r="J94" s="43">
        <f>J57*_xlfn.XLOOKUP($E94,'Emission Factors'!$A$12:$A$14,'Emission Factors'!$B$12:$B$14,0,0,1)*_xlfn.XLOOKUP($E94,'Emission Factors'!$A$21:$A$23,'Emission Factors'!$B$21:$B$23,0,0,1)/1000000</f>
        <v>0</v>
      </c>
      <c r="K94" s="43">
        <f>K57*_xlfn.XLOOKUP($E94,'Emission Factors'!$A$12:$A$14,'Emission Factors'!$B$12:$B$14,0,0,1)*_xlfn.XLOOKUP($E94,'Emission Factors'!$A$21:$A$23,'Emission Factors'!$B$21:$B$23,0,0,1)/1000000</f>
        <v>0</v>
      </c>
      <c r="L94" s="43">
        <f>L57*_xlfn.XLOOKUP($E94,'Emission Factors'!$A$12:$A$14,'Emission Factors'!$B$12:$B$14,0,0,1)*_xlfn.XLOOKUP($E94,'Emission Factors'!$A$21:$A$23,'Emission Factors'!$B$21:$B$23,0,0,1)/1000000</f>
        <v>0</v>
      </c>
      <c r="M94" s="43">
        <f>M57*_xlfn.XLOOKUP($E94,'Emission Factors'!$A$12:$A$14,'Emission Factors'!$B$12:$B$14,0,0,1)*_xlfn.XLOOKUP($E94,'Emission Factors'!$A$21:$A$23,'Emission Factors'!$B$21:$B$23,0,0,1)/1000000</f>
        <v>2113147.6931412597</v>
      </c>
      <c r="N94" s="43">
        <f>N57*_xlfn.XLOOKUP($E94,'Emission Factors'!$A$12:$A$14,'Emission Factors'!$B$12:$B$14,0,0,1)*_xlfn.XLOOKUP($E94,'Emission Factors'!$A$21:$A$23,'Emission Factors'!$B$21:$B$23,0,0,1)/1000000</f>
        <v>4156424.3682841198</v>
      </c>
      <c r="O94" s="43">
        <f>O57*_xlfn.XLOOKUP($E94,'Emission Factors'!$A$12:$A$14,'Emission Factors'!$B$12:$B$14,0,0,1)*_xlfn.XLOOKUP($E94,'Emission Factors'!$A$21:$A$23,'Emission Factors'!$B$21:$B$23,0,0,1)/1000000</f>
        <v>12827794.130140699</v>
      </c>
      <c r="P94" s="43">
        <f>P57*_xlfn.XLOOKUP($E94,'Emission Factors'!$A$12:$A$14,'Emission Factors'!$B$12:$B$14,0,0,1)*_xlfn.XLOOKUP($E94,'Emission Factors'!$A$21:$A$23,'Emission Factors'!$B$21:$B$23,0,0,1)/1000000</f>
        <v>18587083.386685777</v>
      </c>
      <c r="Q94" s="43">
        <f>Q57*_xlfn.XLOOKUP($E94,'Emission Factors'!$A$12:$A$14,'Emission Factors'!$B$12:$B$14,0,0,1)*_xlfn.XLOOKUP($E94,'Emission Factors'!$A$21:$A$23,'Emission Factors'!$B$21:$B$23,0,0,1)/1000000</f>
        <v>18104491.237638015</v>
      </c>
      <c r="R94" s="43">
        <f>R57*_xlfn.XLOOKUP($E94,'Emission Factors'!$A$12:$A$14,'Emission Factors'!$B$12:$B$14,0,0,1)*_xlfn.XLOOKUP($E94,'Emission Factors'!$A$21:$A$23,'Emission Factors'!$B$21:$B$23,0,0,1)/1000000</f>
        <v>21049919.948567439</v>
      </c>
      <c r="S94" s="43">
        <f>S57*_xlfn.XLOOKUP($E94,'Emission Factors'!$A$12:$A$14,'Emission Factors'!$B$12:$B$14,0,0,1)*_xlfn.XLOOKUP($E94,'Emission Factors'!$A$21:$A$23,'Emission Factors'!$B$21:$B$23,0,0,1)/1000000</f>
        <v>20734829.101425078</v>
      </c>
      <c r="T94" s="43">
        <f>T57*_xlfn.XLOOKUP($E94,'Emission Factors'!$A$12:$A$14,'Emission Factors'!$B$12:$B$14,0,0,1)*_xlfn.XLOOKUP($E94,'Emission Factors'!$A$21:$A$23,'Emission Factors'!$B$21:$B$23,0,0,1)/1000000</f>
        <v>20519137.565556239</v>
      </c>
      <c r="V94" s="47">
        <f t="shared" si="9"/>
        <v>20767962.205182921</v>
      </c>
      <c r="W94" s="47">
        <f t="shared" si="10"/>
        <v>20519137.565556239</v>
      </c>
    </row>
    <row r="95" spans="1:23" x14ac:dyDescent="0.25">
      <c r="A95" s="39" t="s">
        <v>61</v>
      </c>
      <c r="B95" s="40"/>
      <c r="C95" s="26"/>
      <c r="D95" s="27"/>
      <c r="E95" s="41" t="s">
        <v>229</v>
      </c>
      <c r="F95" s="42"/>
      <c r="G95" s="43"/>
      <c r="H95" s="43"/>
      <c r="I95" s="43"/>
      <c r="J95" s="43"/>
      <c r="K95" s="43"/>
      <c r="L95" s="43"/>
      <c r="M95" s="43"/>
      <c r="N95" s="43"/>
      <c r="O95" s="43"/>
      <c r="P95" s="43"/>
      <c r="Q95" s="43"/>
      <c r="R95" s="43"/>
      <c r="S95" s="43"/>
      <c r="T95" s="43">
        <f>T58*_xlfn.XLOOKUP($E95,'Emission Factors'!$A$12:$A$14,'Emission Factors'!$B$12:$B$14,0,0,1)*_xlfn.XLOOKUP($E95,'Emission Factors'!$A$21:$A$23,'Emission Factors'!$B$21:$B$23,0,0,1)/1000000</f>
        <v>68191.48980000001</v>
      </c>
      <c r="V95" s="47">
        <f t="shared" si="9"/>
        <v>68191.48980000001</v>
      </c>
      <c r="W95" s="47">
        <f t="shared" si="10"/>
        <v>68191.48980000001</v>
      </c>
    </row>
    <row r="96" spans="1:23" x14ac:dyDescent="0.25">
      <c r="A96" s="39" t="s">
        <v>62</v>
      </c>
      <c r="B96" s="40">
        <v>2880</v>
      </c>
      <c r="C96" s="26">
        <v>42977</v>
      </c>
      <c r="D96" s="27">
        <v>42977</v>
      </c>
      <c r="E96" s="41" t="s">
        <v>67</v>
      </c>
      <c r="F96" s="42" t="s">
        <v>76</v>
      </c>
      <c r="G96" s="43">
        <f>G59*_xlfn.XLOOKUP($E96,'Emission Factors'!$A$12:$A$14,'Emission Factors'!$B$12:$B$14,0,0,1)*_xlfn.XLOOKUP($E96,'Emission Factors'!$A$21:$A$23,'Emission Factors'!$B$21:$B$23,0,0,1)/1000000</f>
        <v>0</v>
      </c>
      <c r="H96" s="43">
        <f>H59*_xlfn.XLOOKUP($E96,'Emission Factors'!$A$12:$A$14,'Emission Factors'!$B$12:$B$14,0,0,1)*_xlfn.XLOOKUP($E96,'Emission Factors'!$A$21:$A$23,'Emission Factors'!$B$21:$B$23,0,0,1)/1000000</f>
        <v>0</v>
      </c>
      <c r="I96" s="43">
        <f>I59*_xlfn.XLOOKUP($E96,'Emission Factors'!$A$12:$A$14,'Emission Factors'!$B$12:$B$14,0,0,1)*_xlfn.XLOOKUP($E96,'Emission Factors'!$A$21:$A$23,'Emission Factors'!$B$21:$B$23,0,0,1)/1000000</f>
        <v>0</v>
      </c>
      <c r="J96" s="43">
        <f>J59*_xlfn.XLOOKUP($E96,'Emission Factors'!$A$12:$A$14,'Emission Factors'!$B$12:$B$14,0,0,1)*_xlfn.XLOOKUP($E96,'Emission Factors'!$A$21:$A$23,'Emission Factors'!$B$21:$B$23,0,0,1)/1000000</f>
        <v>0</v>
      </c>
      <c r="K96" s="43">
        <f>K59*_xlfn.XLOOKUP($E96,'Emission Factors'!$A$12:$A$14,'Emission Factors'!$B$12:$B$14,0,0,1)*_xlfn.XLOOKUP($E96,'Emission Factors'!$A$21:$A$23,'Emission Factors'!$B$21:$B$23,0,0,1)/1000000</f>
        <v>0</v>
      </c>
      <c r="L96" s="43">
        <f>L59*_xlfn.XLOOKUP($E96,'Emission Factors'!$A$12:$A$14,'Emission Factors'!$B$12:$B$14,0,0,1)*_xlfn.XLOOKUP($E96,'Emission Factors'!$A$21:$A$23,'Emission Factors'!$B$21:$B$23,0,0,1)/1000000</f>
        <v>0</v>
      </c>
      <c r="M96" s="43">
        <f>M59*_xlfn.XLOOKUP($E96,'Emission Factors'!$A$12:$A$14,'Emission Factors'!$B$12:$B$14,0,0,1)*_xlfn.XLOOKUP($E96,'Emission Factors'!$A$21:$A$23,'Emission Factors'!$B$21:$B$23,0,0,1)/1000000</f>
        <v>0</v>
      </c>
      <c r="N96" s="43">
        <f>N59*_xlfn.XLOOKUP($E96,'Emission Factors'!$A$12:$A$14,'Emission Factors'!$B$12:$B$14,0,0,1)*_xlfn.XLOOKUP($E96,'Emission Factors'!$A$21:$A$23,'Emission Factors'!$B$21:$B$23,0,0,1)/1000000</f>
        <v>0</v>
      </c>
      <c r="O96" s="43">
        <f>O59*_xlfn.XLOOKUP($E96,'Emission Factors'!$A$12:$A$14,'Emission Factors'!$B$12:$B$14,0,0,1)*_xlfn.XLOOKUP($E96,'Emission Factors'!$A$21:$A$23,'Emission Factors'!$B$21:$B$23,0,0,1)/1000000</f>
        <v>3982043.5155089195</v>
      </c>
      <c r="P96" s="43">
        <f>P59*_xlfn.XLOOKUP($E96,'Emission Factors'!$A$12:$A$14,'Emission Factors'!$B$12:$B$14,0,0,1)*_xlfn.XLOOKUP($E96,'Emission Factors'!$A$21:$A$23,'Emission Factors'!$B$21:$B$23,0,0,1)/1000000</f>
        <v>8570420.2337293793</v>
      </c>
      <c r="Q96" s="43">
        <f>Q59*_xlfn.XLOOKUP($E96,'Emission Factors'!$A$12:$A$14,'Emission Factors'!$B$12:$B$14,0,0,1)*_xlfn.XLOOKUP($E96,'Emission Factors'!$A$21:$A$23,'Emission Factors'!$B$21:$B$23,0,0,1)/1000000</f>
        <v>9360476.3855185583</v>
      </c>
      <c r="R96" s="43">
        <f>R59*_xlfn.XLOOKUP($E96,'Emission Factors'!$A$12:$A$14,'Emission Factors'!$B$12:$B$14,0,0,1)*_xlfn.XLOOKUP($E96,'Emission Factors'!$A$21:$A$23,'Emission Factors'!$B$21:$B$23,0,0,1)/1000000</f>
        <v>8869990.369071139</v>
      </c>
      <c r="S96" s="43">
        <f>S59*_xlfn.XLOOKUP($E96,'Emission Factors'!$A$12:$A$14,'Emission Factors'!$B$12:$B$14,0,0,1)*_xlfn.XLOOKUP($E96,'Emission Factors'!$A$21:$A$23,'Emission Factors'!$B$21:$B$23,0,0,1)/1000000</f>
        <v>9338257.8468334004</v>
      </c>
      <c r="T96" s="43">
        <f>T59*_xlfn.XLOOKUP($E96,'Emission Factors'!$A$12:$A$14,'Emission Factors'!$B$12:$B$14,0,0,1)*_xlfn.XLOOKUP($E96,'Emission Factors'!$A$21:$A$23,'Emission Factors'!$B$21:$B$23,0,0,1)/1000000</f>
        <v>10165085.290737981</v>
      </c>
      <c r="V96" s="47">
        <f t="shared" si="9"/>
        <v>9457777.8355475068</v>
      </c>
      <c r="W96" s="47">
        <f t="shared" si="10"/>
        <v>10165085.290737981</v>
      </c>
    </row>
    <row r="97" spans="1:23" x14ac:dyDescent="0.25">
      <c r="A97" s="39" t="s">
        <v>62</v>
      </c>
      <c r="B97" s="40"/>
      <c r="C97" s="26"/>
      <c r="D97" s="27"/>
      <c r="E97" s="41" t="s">
        <v>229</v>
      </c>
      <c r="F97" s="42"/>
      <c r="G97" s="43"/>
      <c r="H97" s="43"/>
      <c r="I97" s="43"/>
      <c r="J97" s="43"/>
      <c r="K97" s="43"/>
      <c r="L97" s="43"/>
      <c r="M97" s="43"/>
      <c r="N97" s="43"/>
      <c r="O97" s="43"/>
      <c r="P97" s="43"/>
      <c r="Q97" s="43"/>
      <c r="R97" s="43"/>
      <c r="S97" s="43"/>
      <c r="T97" s="43">
        <f>T60*_xlfn.XLOOKUP($E97,'Emission Factors'!$A$12:$A$14,'Emission Factors'!$B$12:$B$14,0,0,1)*_xlfn.XLOOKUP($E97,'Emission Factors'!$A$21:$A$23,'Emission Factors'!$B$21:$B$23,0,0,1)/1000000</f>
        <v>88663.248000000007</v>
      </c>
      <c r="V97" s="47">
        <f t="shared" si="9"/>
        <v>88663.248000000007</v>
      </c>
      <c r="W97" s="47">
        <f t="shared" si="10"/>
        <v>88663.248000000007</v>
      </c>
    </row>
    <row r="99" spans="1:23" x14ac:dyDescent="0.25">
      <c r="A99" s="53" t="s">
        <v>102</v>
      </c>
    </row>
    <row r="101" spans="1:23" ht="26.4" x14ac:dyDescent="0.25">
      <c r="A101" s="35" t="s">
        <v>66</v>
      </c>
      <c r="B101" s="36" t="s">
        <v>73</v>
      </c>
      <c r="C101" s="36" t="s">
        <v>42</v>
      </c>
      <c r="D101" s="37" t="s">
        <v>26</v>
      </c>
      <c r="E101" s="37" t="s">
        <v>65</v>
      </c>
      <c r="F101" s="38" t="s">
        <v>28</v>
      </c>
      <c r="G101" s="38" t="s">
        <v>29</v>
      </c>
      <c r="H101" s="38" t="s">
        <v>30</v>
      </c>
      <c r="I101" s="38" t="s">
        <v>31</v>
      </c>
      <c r="J101" s="38" t="s">
        <v>32</v>
      </c>
      <c r="K101" s="38" t="s">
        <v>33</v>
      </c>
      <c r="L101" s="38" t="s">
        <v>34</v>
      </c>
      <c r="M101" s="38" t="s">
        <v>35</v>
      </c>
      <c r="N101" s="38" t="s">
        <v>36</v>
      </c>
      <c r="O101" s="38" t="s">
        <v>37</v>
      </c>
      <c r="P101" s="38" t="s">
        <v>38</v>
      </c>
      <c r="Q101" s="38" t="s">
        <v>39</v>
      </c>
      <c r="R101" s="38" t="s">
        <v>40</v>
      </c>
      <c r="S101" s="38" t="s">
        <v>41</v>
      </c>
      <c r="T101" s="23" t="s">
        <v>228</v>
      </c>
    </row>
    <row r="102" spans="1:23" x14ac:dyDescent="0.25">
      <c r="A102" s="39" t="s">
        <v>43</v>
      </c>
      <c r="B102" s="40">
        <v>1098</v>
      </c>
      <c r="C102" s="26">
        <v>25700</v>
      </c>
      <c r="D102" s="27">
        <v>25700</v>
      </c>
      <c r="E102" s="41" t="s">
        <v>67</v>
      </c>
      <c r="F102" s="42" t="s">
        <v>81</v>
      </c>
      <c r="G102" s="54">
        <f t="shared" ref="G102:S117" si="11">IFERROR(SUMIF($A$64:$A$97,$A102,G$64:G$97)/SUMIF($A$3:$A$23,$A102,G$3:G$23),"")</f>
        <v>1.1089106004238189</v>
      </c>
      <c r="H102" s="54">
        <f t="shared" si="11"/>
        <v>1.1130153294095582</v>
      </c>
      <c r="I102" s="54">
        <f t="shared" si="11"/>
        <v>1.1262790654671395</v>
      </c>
      <c r="J102" s="54">
        <f t="shared" si="11"/>
        <v>1.1140263445086807</v>
      </c>
      <c r="K102" s="54">
        <f t="shared" si="11"/>
        <v>1.1919459759620321</v>
      </c>
      <c r="L102" s="54">
        <f t="shared" si="11"/>
        <v>1.1251094635803494</v>
      </c>
      <c r="M102" s="54">
        <f t="shared" si="11"/>
        <v>1.1155131488103021</v>
      </c>
      <c r="N102" s="54">
        <f t="shared" si="11"/>
        <v>1.2472691094861208</v>
      </c>
      <c r="O102" s="54">
        <f t="shared" si="11"/>
        <v>1.1915761014532718</v>
      </c>
      <c r="P102" s="54">
        <f t="shared" si="11"/>
        <v>1.1906525934853633</v>
      </c>
      <c r="Q102" s="54">
        <f t="shared" si="11"/>
        <v>1.1508060527928476</v>
      </c>
      <c r="R102" s="54">
        <f t="shared" si="11"/>
        <v>1.1838518695259885</v>
      </c>
      <c r="S102" s="54">
        <f t="shared" si="11"/>
        <v>1.2902106172337053</v>
      </c>
      <c r="T102" s="54">
        <f>IFERROR(SUMIF($A$64:$A$97,$A102,T$64:T$97)/SUMIF($A$3:$A$23,$A102,T$3:T$23),"")</f>
        <v>1.1607322371787465</v>
      </c>
      <c r="V102" s="47"/>
      <c r="W102" s="47"/>
    </row>
    <row r="103" spans="1:23" x14ac:dyDescent="0.25">
      <c r="A103" s="39" t="s">
        <v>45</v>
      </c>
      <c r="B103" s="40">
        <v>2100</v>
      </c>
      <c r="C103" s="26">
        <v>26197</v>
      </c>
      <c r="D103" s="27">
        <v>26197</v>
      </c>
      <c r="E103" s="41" t="s">
        <v>67</v>
      </c>
      <c r="F103" s="42" t="s">
        <v>81</v>
      </c>
      <c r="G103" s="54">
        <f t="shared" si="11"/>
        <v>0.99227905586055065</v>
      </c>
      <c r="H103" s="54">
        <f t="shared" si="11"/>
        <v>1.0668030523129994</v>
      </c>
      <c r="I103" s="54">
        <f t="shared" si="11"/>
        <v>1.0404626564607649</v>
      </c>
      <c r="J103" s="54">
        <f t="shared" si="11"/>
        <v>1.0376002411753997</v>
      </c>
      <c r="K103" s="54">
        <f t="shared" si="11"/>
        <v>1.0487037179463101</v>
      </c>
      <c r="L103" s="54">
        <f t="shared" si="11"/>
        <v>1.0768846760067148</v>
      </c>
      <c r="M103" s="54">
        <f t="shared" si="11"/>
        <v>1.6413229339014979</v>
      </c>
      <c r="N103" s="54">
        <f t="shared" si="11"/>
        <v>1.003465664711406</v>
      </c>
      <c r="O103" s="54">
        <f t="shared" si="11"/>
        <v>1.1028306314341241</v>
      </c>
      <c r="P103" s="54">
        <f t="shared" si="11"/>
        <v>1.0328080276601221</v>
      </c>
      <c r="Q103" s="54">
        <f t="shared" si="11"/>
        <v>1.0347350540020213</v>
      </c>
      <c r="R103" s="54">
        <f t="shared" si="11"/>
        <v>1.0586559457024278</v>
      </c>
      <c r="S103" s="54">
        <f t="shared" si="11"/>
        <v>1.0572433030589903</v>
      </c>
      <c r="T103" s="54">
        <f t="shared" ref="T103:T120" si="12">IFERROR(SUMIF($A$64:$A$97,$A103,T$64:T$97)/SUMIF($A$3:$A$23,$A103,T$3:T$23),"")</f>
        <v>1.0902820916394322</v>
      </c>
      <c r="V103" s="47"/>
      <c r="W103" s="47"/>
    </row>
    <row r="104" spans="1:23" x14ac:dyDescent="0.25">
      <c r="A104" s="39" t="s">
        <v>46</v>
      </c>
      <c r="B104" s="40">
        <v>2640</v>
      </c>
      <c r="C104" s="26">
        <v>27886</v>
      </c>
      <c r="D104" s="27">
        <v>27886</v>
      </c>
      <c r="E104" s="41" t="s">
        <v>67</v>
      </c>
      <c r="F104" s="42" t="s">
        <v>81</v>
      </c>
      <c r="G104" s="54">
        <f t="shared" si="11"/>
        <v>0.97042558697847459</v>
      </c>
      <c r="H104" s="54">
        <f t="shared" si="11"/>
        <v>1.0139925274745485</v>
      </c>
      <c r="I104" s="54">
        <f t="shared" si="11"/>
        <v>0.99626978489083107</v>
      </c>
      <c r="J104" s="54">
        <f t="shared" si="11"/>
        <v>1.0460367277037246</v>
      </c>
      <c r="K104" s="54">
        <f t="shared" si="11"/>
        <v>0.98219526108109745</v>
      </c>
      <c r="L104" s="54">
        <f t="shared" si="11"/>
        <v>1.005532545819174</v>
      </c>
      <c r="M104" s="54">
        <f t="shared" si="11"/>
        <v>1.0117333036815825</v>
      </c>
      <c r="N104" s="54">
        <f t="shared" si="11"/>
        <v>0.998840164516552</v>
      </c>
      <c r="O104" s="54">
        <f t="shared" si="11"/>
        <v>1.0708148107437292</v>
      </c>
      <c r="P104" s="54">
        <f t="shared" si="11"/>
        <v>1.1122583709699725</v>
      </c>
      <c r="Q104" s="54">
        <f t="shared" si="11"/>
        <v>1.0958452774782299</v>
      </c>
      <c r="R104" s="54">
        <f t="shared" si="11"/>
        <v>1.1538014224609703</v>
      </c>
      <c r="S104" s="54">
        <f t="shared" si="11"/>
        <v>1.1866454190470543</v>
      </c>
      <c r="T104" s="54">
        <f t="shared" si="12"/>
        <v>1.2525911083393213</v>
      </c>
      <c r="V104" s="47"/>
      <c r="W104" s="47"/>
    </row>
    <row r="105" spans="1:23" x14ac:dyDescent="0.25">
      <c r="A105" s="39" t="s">
        <v>47</v>
      </c>
      <c r="B105" s="40">
        <v>171</v>
      </c>
      <c r="C105" s="26">
        <v>27893</v>
      </c>
      <c r="D105" s="27">
        <v>27893</v>
      </c>
      <c r="E105" s="41" t="s">
        <v>78</v>
      </c>
      <c r="F105" s="42" t="s">
        <v>81</v>
      </c>
      <c r="G105" s="54">
        <f t="shared" si="11"/>
        <v>1.1799210043850805</v>
      </c>
      <c r="H105" s="54">
        <f t="shared" si="11"/>
        <v>1.0468344973774719</v>
      </c>
      <c r="I105" s="54">
        <f t="shared" si="11"/>
        <v>0.95136463903394264</v>
      </c>
      <c r="J105" s="54">
        <f t="shared" si="11"/>
        <v>0.93870638224314795</v>
      </c>
      <c r="K105" s="54">
        <f t="shared" si="11"/>
        <v>1.012567870683754</v>
      </c>
      <c r="L105" s="54">
        <f t="shared" si="11"/>
        <v>0.93822942165385981</v>
      </c>
      <c r="M105" s="54">
        <f t="shared" si="11"/>
        <v>1.3251526281456953</v>
      </c>
      <c r="N105" s="54">
        <f t="shared" si="11"/>
        <v>2.5282354499999999</v>
      </c>
      <c r="O105" s="54">
        <f t="shared" si="11"/>
        <v>0.95739420403037379</v>
      </c>
      <c r="P105" s="54">
        <f t="shared" si="11"/>
        <v>1.2931795811643834</v>
      </c>
      <c r="Q105" s="54">
        <f t="shared" si="11"/>
        <v>0.99283806830265842</v>
      </c>
      <c r="R105" s="54">
        <f t="shared" si="11"/>
        <v>1.0567187527491408</v>
      </c>
      <c r="S105" s="54">
        <f t="shared" si="11"/>
        <v>1.0196666361552853</v>
      </c>
      <c r="T105" s="54">
        <f t="shared" si="12"/>
        <v>1.0235496289900248</v>
      </c>
      <c r="V105" s="47"/>
      <c r="W105" s="47"/>
    </row>
    <row r="106" spans="1:23" x14ac:dyDescent="0.25">
      <c r="A106" s="39" t="s">
        <v>48</v>
      </c>
      <c r="B106" s="40">
        <v>171</v>
      </c>
      <c r="C106" s="26">
        <v>28033</v>
      </c>
      <c r="D106" s="27">
        <v>28033</v>
      </c>
      <c r="E106" s="41" t="s">
        <v>78</v>
      </c>
      <c r="F106" s="42" t="s">
        <v>81</v>
      </c>
      <c r="G106" s="54">
        <f t="shared" si="11"/>
        <v>0.1346758484746686</v>
      </c>
      <c r="H106" s="54">
        <f t="shared" si="11"/>
        <v>1.0074617149398704</v>
      </c>
      <c r="I106" s="54">
        <f t="shared" si="11"/>
        <v>0.97404554342105265</v>
      </c>
      <c r="J106" s="54">
        <f t="shared" si="11"/>
        <v>0.93608513280075445</v>
      </c>
      <c r="K106" s="54">
        <f t="shared" si="11"/>
        <v>0.92851329553625717</v>
      </c>
      <c r="L106" s="54">
        <f t="shared" si="11"/>
        <v>0.9279285323476324</v>
      </c>
      <c r="M106" s="54">
        <f t="shared" si="11"/>
        <v>2.3661476451219507</v>
      </c>
      <c r="N106" s="54">
        <f t="shared" si="11"/>
        <v>1.9198004428571427</v>
      </c>
      <c r="O106" s="54">
        <f t="shared" si="11"/>
        <v>0.97853221494124221</v>
      </c>
      <c r="P106" s="54">
        <f t="shared" si="11"/>
        <v>1.0629292345183485</v>
      </c>
      <c r="Q106" s="54">
        <f t="shared" si="11"/>
        <v>1.110909971757035</v>
      </c>
      <c r="R106" s="54">
        <f t="shared" si="11"/>
        <v>1.0223041613660617</v>
      </c>
      <c r="S106" s="54">
        <f t="shared" si="11"/>
        <v>0.95556782501661108</v>
      </c>
      <c r="T106" s="54">
        <f t="shared" si="12"/>
        <v>0.88386237552995384</v>
      </c>
      <c r="V106" s="47"/>
      <c r="W106" s="47"/>
    </row>
    <row r="107" spans="1:23" x14ac:dyDescent="0.25">
      <c r="A107" s="39" t="s">
        <v>49</v>
      </c>
      <c r="B107" s="40">
        <v>3450</v>
      </c>
      <c r="C107" s="26">
        <v>29127</v>
      </c>
      <c r="D107" s="27">
        <v>29127</v>
      </c>
      <c r="E107" s="41" t="s">
        <v>67</v>
      </c>
      <c r="F107" s="42" t="s">
        <v>81</v>
      </c>
      <c r="G107" s="54">
        <f t="shared" si="11"/>
        <v>1.048161992928988</v>
      </c>
      <c r="H107" s="54">
        <f t="shared" si="11"/>
        <v>1.0207782861201784</v>
      </c>
      <c r="I107" s="54">
        <f t="shared" si="11"/>
        <v>1.0200931314315589</v>
      </c>
      <c r="J107" s="54">
        <f t="shared" si="11"/>
        <v>1.0167910978995254</v>
      </c>
      <c r="K107" s="54">
        <f t="shared" si="11"/>
        <v>1.0530028473539699</v>
      </c>
      <c r="L107" s="54">
        <f t="shared" si="11"/>
        <v>1.0379808390854883</v>
      </c>
      <c r="M107" s="54">
        <f t="shared" si="11"/>
        <v>1.0128289030979267</v>
      </c>
      <c r="N107" s="54">
        <f t="shared" si="11"/>
        <v>1.0833618636928519</v>
      </c>
      <c r="O107" s="54">
        <f t="shared" si="11"/>
        <v>1.0643684276909255</v>
      </c>
      <c r="P107" s="54">
        <f t="shared" si="11"/>
        <v>1.0524326643037969</v>
      </c>
      <c r="Q107" s="54">
        <f t="shared" si="11"/>
        <v>1.0685160981134558</v>
      </c>
      <c r="R107" s="54">
        <f t="shared" si="11"/>
        <v>1.0919816024619273</v>
      </c>
      <c r="S107" s="54">
        <f t="shared" si="11"/>
        <v>1.1656175541471105</v>
      </c>
      <c r="T107" s="54">
        <f t="shared" si="12"/>
        <v>1.5148480497290224</v>
      </c>
      <c r="V107" s="47"/>
      <c r="W107" s="47"/>
    </row>
    <row r="108" spans="1:23" x14ac:dyDescent="0.25">
      <c r="A108" s="39" t="s">
        <v>50</v>
      </c>
      <c r="B108" s="40">
        <v>2875</v>
      </c>
      <c r="C108" s="26">
        <v>29238</v>
      </c>
      <c r="D108" s="27">
        <v>29238</v>
      </c>
      <c r="E108" s="41" t="s">
        <v>67</v>
      </c>
      <c r="F108" s="42" t="s">
        <v>81</v>
      </c>
      <c r="G108" s="54">
        <f t="shared" si="11"/>
        <v>0.97342540124258692</v>
      </c>
      <c r="H108" s="54">
        <f t="shared" si="11"/>
        <v>0.96687051908687049</v>
      </c>
      <c r="I108" s="54">
        <f t="shared" si="11"/>
        <v>0.96990936682665563</v>
      </c>
      <c r="J108" s="54">
        <f t="shared" si="11"/>
        <v>1.0077407393196227</v>
      </c>
      <c r="K108" s="54">
        <f t="shared" si="11"/>
        <v>1.0205397389897559</v>
      </c>
      <c r="L108" s="54">
        <f t="shared" si="11"/>
        <v>1.0022966975957044</v>
      </c>
      <c r="M108" s="54">
        <f t="shared" si="11"/>
        <v>0.96206553671998152</v>
      </c>
      <c r="N108" s="54">
        <f t="shared" si="11"/>
        <v>0.98162998877317797</v>
      </c>
      <c r="O108" s="54">
        <f t="shared" si="11"/>
        <v>1.0271758295733993</v>
      </c>
      <c r="P108" s="54">
        <f t="shared" si="11"/>
        <v>1.0822743732531652</v>
      </c>
      <c r="Q108" s="54">
        <f t="shared" si="11"/>
        <v>1.0866328809997863</v>
      </c>
      <c r="R108" s="54">
        <f t="shared" si="11"/>
        <v>1.0821453099926199</v>
      </c>
      <c r="S108" s="54">
        <f t="shared" si="11"/>
        <v>1.05341630459893</v>
      </c>
      <c r="T108" s="54">
        <f t="shared" si="12"/>
        <v>1.09068463633424</v>
      </c>
      <c r="V108" s="47"/>
      <c r="W108" s="47"/>
    </row>
    <row r="109" spans="1:23" x14ac:dyDescent="0.25">
      <c r="A109" s="39" t="s">
        <v>51</v>
      </c>
      <c r="B109" s="40">
        <v>3510</v>
      </c>
      <c r="C109" s="26">
        <v>31199</v>
      </c>
      <c r="D109" s="27">
        <v>31199</v>
      </c>
      <c r="E109" s="41" t="s">
        <v>67</v>
      </c>
      <c r="F109" s="42" t="s">
        <v>81</v>
      </c>
      <c r="G109" s="54">
        <f t="shared" si="11"/>
        <v>0.99115006502338288</v>
      </c>
      <c r="H109" s="54">
        <f t="shared" si="11"/>
        <v>1.0280634324859899</v>
      </c>
      <c r="I109" s="54">
        <f t="shared" si="11"/>
        <v>1.0529577966886068</v>
      </c>
      <c r="J109" s="54">
        <f t="shared" si="11"/>
        <v>1.0922818066078941</v>
      </c>
      <c r="K109" s="54">
        <f t="shared" si="11"/>
        <v>1.0443322209588506</v>
      </c>
      <c r="L109" s="54">
        <f t="shared" si="11"/>
        <v>1.0539083988491296</v>
      </c>
      <c r="M109" s="54">
        <f t="shared" si="11"/>
        <v>1.0734543791967159</v>
      </c>
      <c r="N109" s="54">
        <f t="shared" si="11"/>
        <v>1.0444110096752861</v>
      </c>
      <c r="O109" s="54">
        <f t="shared" si="11"/>
        <v>1.1095519678586656</v>
      </c>
      <c r="P109" s="54">
        <f t="shared" si="11"/>
        <v>1.1473005761438564</v>
      </c>
      <c r="Q109" s="54">
        <f t="shared" si="11"/>
        <v>1.1766926492030241</v>
      </c>
      <c r="R109" s="54">
        <f t="shared" si="11"/>
        <v>1.1986013819400787</v>
      </c>
      <c r="S109" s="54">
        <f t="shared" si="11"/>
        <v>1.151428752196384</v>
      </c>
      <c r="T109" s="54">
        <f t="shared" si="12"/>
        <v>1.1572020466374306</v>
      </c>
      <c r="V109" s="47"/>
      <c r="W109" s="47"/>
    </row>
    <row r="110" spans="1:23" x14ac:dyDescent="0.25">
      <c r="A110" s="39" t="s">
        <v>52</v>
      </c>
      <c r="B110" s="40">
        <v>3558</v>
      </c>
      <c r="C110" s="26">
        <v>31403</v>
      </c>
      <c r="D110" s="27">
        <v>31403</v>
      </c>
      <c r="E110" s="41" t="s">
        <v>67</v>
      </c>
      <c r="F110" s="42" t="s">
        <v>81</v>
      </c>
      <c r="G110" s="54">
        <f t="shared" si="11"/>
        <v>1.2925341248929376</v>
      </c>
      <c r="H110" s="54">
        <f t="shared" si="11"/>
        <v>1.3210120971416288</v>
      </c>
      <c r="I110" s="54">
        <f t="shared" si="11"/>
        <v>1.3182592288806214</v>
      </c>
      <c r="J110" s="54">
        <f t="shared" si="11"/>
        <v>1.3103280851390415</v>
      </c>
      <c r="K110" s="54">
        <f t="shared" si="11"/>
        <v>1.2657588046815651</v>
      </c>
      <c r="L110" s="54">
        <f t="shared" si="11"/>
        <v>1.3196219912056311</v>
      </c>
      <c r="M110" s="54">
        <f t="shared" si="11"/>
        <v>1.2981837125506464</v>
      </c>
      <c r="N110" s="54">
        <f t="shared" si="11"/>
        <v>1.3033740129743181</v>
      </c>
      <c r="O110" s="54">
        <f t="shared" si="11"/>
        <v>1.2962689008658619</v>
      </c>
      <c r="P110" s="54">
        <f t="shared" si="11"/>
        <v>1.2735273417362278</v>
      </c>
      <c r="Q110" s="54">
        <f t="shared" si="11"/>
        <v>1.2874071396077018</v>
      </c>
      <c r="R110" s="54">
        <f t="shared" si="11"/>
        <v>1.318653448118055</v>
      </c>
      <c r="S110" s="54">
        <f t="shared" si="11"/>
        <v>1.3578791245595492</v>
      </c>
      <c r="T110" s="54">
        <f t="shared" si="12"/>
        <v>1.4004855533319758</v>
      </c>
      <c r="V110" s="47"/>
      <c r="W110" s="47"/>
    </row>
    <row r="111" spans="1:23" x14ac:dyDescent="0.25">
      <c r="A111" s="39" t="s">
        <v>53</v>
      </c>
      <c r="B111" s="40">
        <v>3690</v>
      </c>
      <c r="C111" s="26">
        <v>32115</v>
      </c>
      <c r="D111" s="27">
        <v>32115</v>
      </c>
      <c r="E111" s="41" t="s">
        <v>67</v>
      </c>
      <c r="F111" s="42" t="s">
        <v>81</v>
      </c>
      <c r="G111" s="54">
        <f t="shared" si="11"/>
        <v>0.96109330474593502</v>
      </c>
      <c r="H111" s="54">
        <f t="shared" si="11"/>
        <v>0.99387097885221332</v>
      </c>
      <c r="I111" s="54">
        <f t="shared" si="11"/>
        <v>0.99050920442771917</v>
      </c>
      <c r="J111" s="54">
        <f t="shared" si="11"/>
        <v>0.99615526964524337</v>
      </c>
      <c r="K111" s="54">
        <f t="shared" si="11"/>
        <v>0.98246910926718256</v>
      </c>
      <c r="L111" s="54">
        <f t="shared" si="11"/>
        <v>0.96047323785548711</v>
      </c>
      <c r="M111" s="54">
        <f t="shared" si="11"/>
        <v>0.95775095629279416</v>
      </c>
      <c r="N111" s="54">
        <f t="shared" si="11"/>
        <v>0.97520423032975379</v>
      </c>
      <c r="O111" s="54">
        <f t="shared" si="11"/>
        <v>0.97830357152018721</v>
      </c>
      <c r="P111" s="54">
        <f t="shared" si="11"/>
        <v>0.97661250638844732</v>
      </c>
      <c r="Q111" s="54">
        <f t="shared" si="11"/>
        <v>1.01954003032883</v>
      </c>
      <c r="R111" s="54">
        <f t="shared" si="11"/>
        <v>1.074401850021129</v>
      </c>
      <c r="S111" s="54">
        <f t="shared" si="11"/>
        <v>1.050805226614562</v>
      </c>
      <c r="T111" s="54">
        <f t="shared" si="12"/>
        <v>1.0490821380472892</v>
      </c>
      <c r="V111" s="47"/>
      <c r="W111" s="47"/>
    </row>
    <row r="112" spans="1:23" x14ac:dyDescent="0.25">
      <c r="A112" s="39" t="s">
        <v>54</v>
      </c>
      <c r="B112" s="40">
        <v>3840</v>
      </c>
      <c r="C112" s="26">
        <v>32417</v>
      </c>
      <c r="D112" s="27">
        <v>32417</v>
      </c>
      <c r="E112" s="41" t="s">
        <v>67</v>
      </c>
      <c r="F112" s="42" t="s">
        <v>81</v>
      </c>
      <c r="G112" s="54">
        <f t="shared" si="11"/>
        <v>1.0970911750667971</v>
      </c>
      <c r="H112" s="54">
        <f t="shared" si="11"/>
        <v>1.0822324923002102</v>
      </c>
      <c r="I112" s="54">
        <f t="shared" si="11"/>
        <v>1.0890294843554251</v>
      </c>
      <c r="J112" s="54">
        <f t="shared" si="11"/>
        <v>1.1114229682183732</v>
      </c>
      <c r="K112" s="54">
        <f t="shared" si="11"/>
        <v>1.0635555391277591</v>
      </c>
      <c r="L112" s="54">
        <f t="shared" si="11"/>
        <v>1.0856468446858634</v>
      </c>
      <c r="M112" s="54">
        <f t="shared" si="11"/>
        <v>1.0883346736679342</v>
      </c>
      <c r="N112" s="54">
        <f t="shared" si="11"/>
        <v>1.1667595750926574</v>
      </c>
      <c r="O112" s="54">
        <f t="shared" si="11"/>
        <v>1.1764376013665938</v>
      </c>
      <c r="P112" s="54">
        <f t="shared" si="11"/>
        <v>1.2182080088915037</v>
      </c>
      <c r="Q112" s="54">
        <f t="shared" si="11"/>
        <v>1.1381756252453294</v>
      </c>
      <c r="R112" s="54">
        <f t="shared" si="11"/>
        <v>1.146722301324639</v>
      </c>
      <c r="S112" s="54">
        <f t="shared" si="11"/>
        <v>1.1061936543380955</v>
      </c>
      <c r="T112" s="54">
        <f t="shared" si="12"/>
        <v>1.1775673393854256</v>
      </c>
      <c r="V112" s="47"/>
      <c r="W112" s="47"/>
    </row>
    <row r="113" spans="1:24" x14ac:dyDescent="0.25">
      <c r="A113" s="39" t="s">
        <v>55</v>
      </c>
      <c r="B113" s="40">
        <v>3807</v>
      </c>
      <c r="C113" s="26">
        <v>35156</v>
      </c>
      <c r="D113" s="27">
        <v>35156</v>
      </c>
      <c r="E113" s="41" t="s">
        <v>67</v>
      </c>
      <c r="F113" s="42" t="s">
        <v>81</v>
      </c>
      <c r="G113" s="54">
        <f t="shared" si="11"/>
        <v>0.98017641602400063</v>
      </c>
      <c r="H113" s="54">
        <f t="shared" si="11"/>
        <v>0.99061418169921123</v>
      </c>
      <c r="I113" s="54">
        <f t="shared" si="11"/>
        <v>0.99292139805493984</v>
      </c>
      <c r="J113" s="54">
        <f t="shared" si="11"/>
        <v>1.0196635907711249</v>
      </c>
      <c r="K113" s="54">
        <f t="shared" si="11"/>
        <v>1.0699368320375413</v>
      </c>
      <c r="L113" s="54">
        <f t="shared" si="11"/>
        <v>1.0026983080611402</v>
      </c>
      <c r="M113" s="54">
        <f t="shared" si="11"/>
        <v>1.0359446666107701</v>
      </c>
      <c r="N113" s="54">
        <f t="shared" si="11"/>
        <v>1.0339437610664273</v>
      </c>
      <c r="O113" s="54">
        <f t="shared" si="11"/>
        <v>1.0514966342196541</v>
      </c>
      <c r="P113" s="54">
        <f t="shared" si="11"/>
        <v>1.0310906558577977</v>
      </c>
      <c r="Q113" s="54">
        <f t="shared" si="11"/>
        <v>1.0836151636137319</v>
      </c>
      <c r="R113" s="54">
        <f t="shared" si="11"/>
        <v>1.1154687508049914</v>
      </c>
      <c r="S113" s="54">
        <f t="shared" si="11"/>
        <v>1.17306473361716</v>
      </c>
      <c r="T113" s="54">
        <f t="shared" si="12"/>
        <v>1.1237581740287528</v>
      </c>
      <c r="V113" s="47"/>
      <c r="W113" s="47"/>
    </row>
    <row r="114" spans="1:24" x14ac:dyDescent="0.25">
      <c r="A114" s="39" t="s">
        <v>56</v>
      </c>
      <c r="B114" s="40">
        <v>1481</v>
      </c>
      <c r="C114" s="26">
        <v>24685</v>
      </c>
      <c r="D114" s="27">
        <v>38412</v>
      </c>
      <c r="E114" s="41" t="s">
        <v>67</v>
      </c>
      <c r="F114" s="42" t="s">
        <v>81</v>
      </c>
      <c r="G114" s="54">
        <f t="shared" si="11"/>
        <v>1.1460792445660188</v>
      </c>
      <c r="H114" s="54">
        <f t="shared" si="11"/>
        <v>1.1046538849718035</v>
      </c>
      <c r="I114" s="54">
        <f t="shared" si="11"/>
        <v>1.8543263799999996</v>
      </c>
      <c r="J114" s="54">
        <f t="shared" si="11"/>
        <v>1.1256902556592621</v>
      </c>
      <c r="K114" s="54">
        <f t="shared" si="11"/>
        <v>1.1287447581113446</v>
      </c>
      <c r="L114" s="54">
        <f t="shared" si="11"/>
        <v>1.0640413292189002</v>
      </c>
      <c r="M114" s="54">
        <f t="shared" si="11"/>
        <v>1.073069091421553</v>
      </c>
      <c r="N114" s="54">
        <f t="shared" si="11"/>
        <v>1.075970107383446</v>
      </c>
      <c r="O114" s="54">
        <f t="shared" si="11"/>
        <v>1.1818571614021907</v>
      </c>
      <c r="P114" s="54">
        <f t="shared" si="11"/>
        <v>1.0394117006915398</v>
      </c>
      <c r="Q114" s="54">
        <f t="shared" si="11"/>
        <v>1.155711505534621</v>
      </c>
      <c r="R114" s="54">
        <f t="shared" si="11"/>
        <v>1.0931415193419824</v>
      </c>
      <c r="S114" s="54">
        <f t="shared" si="11"/>
        <v>1.037730875818953</v>
      </c>
      <c r="T114" s="54">
        <f t="shared" si="12"/>
        <v>1.1396971427851901</v>
      </c>
      <c r="V114" s="47"/>
      <c r="W114" s="47"/>
    </row>
    <row r="115" spans="1:24" x14ac:dyDescent="0.25">
      <c r="A115" s="39" t="s">
        <v>57</v>
      </c>
      <c r="B115" s="40">
        <v>1327</v>
      </c>
      <c r="C115" s="26">
        <v>39142</v>
      </c>
      <c r="D115" s="27">
        <v>39142</v>
      </c>
      <c r="E115" s="41" t="s">
        <v>78</v>
      </c>
      <c r="F115" s="42" t="s">
        <v>81</v>
      </c>
      <c r="G115" s="54">
        <f t="shared" si="11"/>
        <v>0.83427179973280297</v>
      </c>
      <c r="H115" s="54">
        <f t="shared" si="11"/>
        <v>0.81969813192413221</v>
      </c>
      <c r="I115" s="54">
        <f t="shared" si="11"/>
        <v>0.84152320634085476</v>
      </c>
      <c r="J115" s="54">
        <f t="shared" si="11"/>
        <v>0.82829405352643626</v>
      </c>
      <c r="K115" s="54">
        <f t="shared" si="11"/>
        <v>0.84533887769902638</v>
      </c>
      <c r="L115" s="54">
        <f t="shared" si="11"/>
        <v>0.83267380441648275</v>
      </c>
      <c r="M115" s="54">
        <f t="shared" si="11"/>
        <v>0.80703324234681673</v>
      </c>
      <c r="N115" s="54">
        <f t="shared" si="11"/>
        <v>0.80632639017597629</v>
      </c>
      <c r="O115" s="54">
        <f t="shared" si="11"/>
        <v>0.7565390302197641</v>
      </c>
      <c r="P115" s="54">
        <f t="shared" si="11"/>
        <v>0.83952515134932759</v>
      </c>
      <c r="Q115" s="54">
        <f t="shared" si="11"/>
        <v>0.83120942850265744</v>
      </c>
      <c r="R115" s="54">
        <f t="shared" si="11"/>
        <v>0.82929416728361016</v>
      </c>
      <c r="S115" s="54">
        <f t="shared" si="11"/>
        <v>0.82640342984294057</v>
      </c>
      <c r="T115" s="54">
        <f t="shared" si="12"/>
        <v>0.84091603144742832</v>
      </c>
      <c r="V115" s="47"/>
      <c r="W115" s="47"/>
    </row>
    <row r="116" spans="1:24" x14ac:dyDescent="0.25">
      <c r="A116" s="39" t="s">
        <v>58</v>
      </c>
      <c r="B116" s="40">
        <v>740</v>
      </c>
      <c r="C116" s="26">
        <v>39264</v>
      </c>
      <c r="D116" s="27">
        <v>39264</v>
      </c>
      <c r="E116" s="41" t="s">
        <v>78</v>
      </c>
      <c r="F116" s="42" t="s">
        <v>81</v>
      </c>
      <c r="G116" s="54">
        <f t="shared" si="11"/>
        <v>0.80920867255234363</v>
      </c>
      <c r="H116" s="54">
        <f t="shared" si="11"/>
        <v>0.80396836576270214</v>
      </c>
      <c r="I116" s="54">
        <f t="shared" si="11"/>
        <v>0.80926210043917146</v>
      </c>
      <c r="J116" s="54">
        <f t="shared" si="11"/>
        <v>0.79397284529215184</v>
      </c>
      <c r="K116" s="54">
        <f t="shared" si="11"/>
        <v>0.79588484737765652</v>
      </c>
      <c r="L116" s="54">
        <f t="shared" si="11"/>
        <v>0.82103262263825338</v>
      </c>
      <c r="M116" s="54">
        <f t="shared" si="11"/>
        <v>1.172095063688213</v>
      </c>
      <c r="N116" s="54">
        <f t="shared" si="11"/>
        <v>0.81963518351622122</v>
      </c>
      <c r="O116" s="54">
        <f t="shared" si="11"/>
        <v>0.80961181693540107</v>
      </c>
      <c r="P116" s="54">
        <f t="shared" si="11"/>
        <v>0.80465464916300389</v>
      </c>
      <c r="Q116" s="54">
        <f t="shared" si="11"/>
        <v>0.8245654731899339</v>
      </c>
      <c r="R116" s="54">
        <f t="shared" si="11"/>
        <v>0.81466296821239981</v>
      </c>
      <c r="S116" s="54">
        <f t="shared" si="11"/>
        <v>0.80662909836835439</v>
      </c>
      <c r="T116" s="54">
        <f t="shared" si="12"/>
        <v>0.80387607569088892</v>
      </c>
      <c r="V116" s="47"/>
      <c r="W116" s="47"/>
    </row>
    <row r="117" spans="1:24" x14ac:dyDescent="0.25">
      <c r="A117" s="39" t="s">
        <v>59</v>
      </c>
      <c r="B117" s="40">
        <v>570</v>
      </c>
      <c r="C117" s="26">
        <v>25355</v>
      </c>
      <c r="D117" s="27">
        <v>39568</v>
      </c>
      <c r="E117" s="41" t="s">
        <v>67</v>
      </c>
      <c r="F117" s="42" t="s">
        <v>81</v>
      </c>
      <c r="G117" s="54">
        <f t="shared" si="11"/>
        <v>1.1151093185602792</v>
      </c>
      <c r="H117" s="54">
        <f t="shared" si="11"/>
        <v>1.162800896860485</v>
      </c>
      <c r="I117" s="54">
        <f t="shared" si="11"/>
        <v>1.8543263799999998</v>
      </c>
      <c r="J117" s="54">
        <f t="shared" si="11"/>
        <v>1.1645391106174177</v>
      </c>
      <c r="K117" s="54">
        <f t="shared" si="11"/>
        <v>1.196587222660874</v>
      </c>
      <c r="L117" s="54">
        <f t="shared" si="11"/>
        <v>1.158133885703001</v>
      </c>
      <c r="M117" s="54">
        <f t="shared" si="11"/>
        <v>1.1510139422593906</v>
      </c>
      <c r="N117" s="54">
        <f t="shared" si="11"/>
        <v>1.1707633518058167</v>
      </c>
      <c r="O117" s="54">
        <f t="shared" si="11"/>
        <v>1.1217424529167668</v>
      </c>
      <c r="P117" s="54">
        <f t="shared" si="11"/>
        <v>1.2527310382606389</v>
      </c>
      <c r="Q117" s="54">
        <f t="shared" si="11"/>
        <v>1.2013298662916561</v>
      </c>
      <c r="R117" s="54">
        <f t="shared" si="11"/>
        <v>1.1711202548200159</v>
      </c>
      <c r="S117" s="54">
        <f t="shared" si="11"/>
        <v>1.1654148521395211</v>
      </c>
      <c r="T117" s="54">
        <f t="shared" si="12"/>
        <v>1.2296827702406667</v>
      </c>
      <c r="V117" s="47"/>
      <c r="W117" s="47"/>
    </row>
    <row r="118" spans="1:24" x14ac:dyDescent="0.25">
      <c r="A118" s="39" t="s">
        <v>60</v>
      </c>
      <c r="B118" s="40">
        <v>990</v>
      </c>
      <c r="C118" s="26">
        <v>22591</v>
      </c>
      <c r="D118" s="27">
        <v>39903</v>
      </c>
      <c r="E118" s="41" t="s">
        <v>67</v>
      </c>
      <c r="F118" s="42" t="s">
        <v>81</v>
      </c>
      <c r="G118" s="54">
        <f t="shared" ref="G118:S120" si="13">IFERROR(SUMIF($A$64:$A$97,$A118,G$64:G$97)/SUMIF($A$3:$A$23,$A118,G$3:G$23),"")</f>
        <v>1.1440320697679429</v>
      </c>
      <c r="H118" s="54">
        <f t="shared" si="13"/>
        <v>1.0749444037720524</v>
      </c>
      <c r="I118" s="54">
        <f t="shared" si="13"/>
        <v>1.8543263799999998</v>
      </c>
      <c r="J118" s="54">
        <f t="shared" si="13"/>
        <v>1.0920680511702769</v>
      </c>
      <c r="K118" s="54">
        <f t="shared" si="13"/>
        <v>1.1320875845736</v>
      </c>
      <c r="L118" s="54">
        <f t="shared" si="13"/>
        <v>1.0906370426367975</v>
      </c>
      <c r="M118" s="54">
        <f t="shared" si="13"/>
        <v>1.1241344568030338</v>
      </c>
      <c r="N118" s="54">
        <f t="shared" si="13"/>
        <v>1.2013546855694497</v>
      </c>
      <c r="O118" s="54">
        <f t="shared" si="13"/>
        <v>1.0894353707813509</v>
      </c>
      <c r="P118" s="54">
        <f t="shared" si="13"/>
        <v>1.0509098428211796</v>
      </c>
      <c r="Q118" s="54">
        <f t="shared" si="13"/>
        <v>1.0523558959061425</v>
      </c>
      <c r="R118" s="54">
        <f t="shared" si="13"/>
        <v>1.0230250475985003</v>
      </c>
      <c r="S118" s="54">
        <f t="shared" si="13"/>
        <v>0.99388439668188333</v>
      </c>
      <c r="T118" s="54" t="str">
        <f t="shared" si="12"/>
        <v/>
      </c>
      <c r="V118" s="47"/>
      <c r="W118" s="47"/>
    </row>
    <row r="119" spans="1:24" x14ac:dyDescent="0.25">
      <c r="A119" s="39" t="s">
        <v>61</v>
      </c>
      <c r="B119" s="40">
        <v>3600</v>
      </c>
      <c r="C119" s="26">
        <v>42238</v>
      </c>
      <c r="D119" s="27">
        <v>42239</v>
      </c>
      <c r="E119" s="41" t="s">
        <v>67</v>
      </c>
      <c r="F119" s="42" t="s">
        <v>81</v>
      </c>
      <c r="G119" s="54" t="str">
        <f t="shared" si="13"/>
        <v/>
      </c>
      <c r="H119" s="54" t="str">
        <f t="shared" si="13"/>
        <v/>
      </c>
      <c r="I119" s="54" t="str">
        <f t="shared" si="13"/>
        <v/>
      </c>
      <c r="J119" s="54" t="str">
        <f t="shared" si="13"/>
        <v/>
      </c>
      <c r="K119" s="54" t="str">
        <f t="shared" si="13"/>
        <v/>
      </c>
      <c r="L119" s="54" t="str">
        <f t="shared" si="13"/>
        <v/>
      </c>
      <c r="M119" s="54">
        <f t="shared" si="13"/>
        <v>0.87023051595802259</v>
      </c>
      <c r="N119" s="54">
        <f t="shared" si="13"/>
        <v>0.94034963323867138</v>
      </c>
      <c r="O119" s="54">
        <f t="shared" si="13"/>
        <v>0.82659432261709964</v>
      </c>
      <c r="P119" s="54">
        <f t="shared" si="13"/>
        <v>0.93033273982667553</v>
      </c>
      <c r="Q119" s="54">
        <f t="shared" si="13"/>
        <v>0.91650235245444078</v>
      </c>
      <c r="R119" s="54">
        <f t="shared" si="13"/>
        <v>0.92986227377888586</v>
      </c>
      <c r="S119" s="54">
        <f t="shared" si="13"/>
        <v>0.89196592982224709</v>
      </c>
      <c r="T119" s="54">
        <f t="shared" si="12"/>
        <v>0.90987912441549534</v>
      </c>
      <c r="V119" s="47"/>
      <c r="W119" s="47"/>
    </row>
    <row r="120" spans="1:24" x14ac:dyDescent="0.25">
      <c r="A120" s="39" t="s">
        <v>62</v>
      </c>
      <c r="B120" s="40">
        <v>2880</v>
      </c>
      <c r="C120" s="26">
        <v>42977</v>
      </c>
      <c r="D120" s="27">
        <v>42977</v>
      </c>
      <c r="E120" s="41" t="s">
        <v>67</v>
      </c>
      <c r="F120" s="42" t="s">
        <v>81</v>
      </c>
      <c r="G120" s="54" t="str">
        <f t="shared" si="13"/>
        <v/>
      </c>
      <c r="H120" s="54" t="str">
        <f t="shared" si="13"/>
        <v/>
      </c>
      <c r="I120" s="54" t="str">
        <f t="shared" si="13"/>
        <v/>
      </c>
      <c r="J120" s="54" t="str">
        <f t="shared" si="13"/>
        <v/>
      </c>
      <c r="K120" s="54" t="str">
        <f t="shared" si="13"/>
        <v/>
      </c>
      <c r="L120" s="54" t="str">
        <f t="shared" si="13"/>
        <v/>
      </c>
      <c r="M120" s="54" t="str">
        <f t="shared" si="13"/>
        <v/>
      </c>
      <c r="N120" s="54" t="str">
        <f t="shared" si="13"/>
        <v/>
      </c>
      <c r="O120" s="54">
        <f t="shared" si="13"/>
        <v>1.0155175909362653</v>
      </c>
      <c r="P120" s="54">
        <f t="shared" si="13"/>
        <v>1.1445634610929443</v>
      </c>
      <c r="Q120" s="54">
        <f t="shared" si="13"/>
        <v>1.0943595517140479</v>
      </c>
      <c r="R120" s="54">
        <f t="shared" si="13"/>
        <v>1.1098324087519875</v>
      </c>
      <c r="S120" s="54">
        <f t="shared" si="13"/>
        <v>1.0239906159995815</v>
      </c>
      <c r="T120" s="54">
        <f t="shared" si="12"/>
        <v>0.99914577847028541</v>
      </c>
      <c r="V120" s="47"/>
      <c r="W120" s="47"/>
    </row>
    <row r="122" spans="1:24" x14ac:dyDescent="0.25">
      <c r="A122" s="53" t="s">
        <v>105</v>
      </c>
    </row>
    <row r="124" spans="1:24" x14ac:dyDescent="0.25">
      <c r="A124" s="34" t="s">
        <v>176</v>
      </c>
      <c r="B124" s="34" t="s">
        <v>259</v>
      </c>
      <c r="C124" s="34" t="s">
        <v>177</v>
      </c>
      <c r="E124" s="34" t="s">
        <v>178</v>
      </c>
      <c r="F124" s="34" t="s">
        <v>179</v>
      </c>
    </row>
    <row r="125" spans="1:24" ht="14.4" x14ac:dyDescent="0.3">
      <c r="A125" s="9" t="s">
        <v>106</v>
      </c>
      <c r="B125" s="74"/>
      <c r="C125" s="58">
        <f>SUM(Q150:Q159)</f>
        <v>1219826</v>
      </c>
      <c r="D125" s="9" t="s">
        <v>107</v>
      </c>
      <c r="E125" s="59">
        <f>MIN(R150:R159)</f>
        <v>41425</v>
      </c>
      <c r="F125" s="9" t="s">
        <v>108</v>
      </c>
      <c r="G125" s="56" t="s">
        <v>109</v>
      </c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</row>
    <row r="126" spans="1:24" ht="14.4" x14ac:dyDescent="0.3">
      <c r="A126" s="9" t="s">
        <v>110</v>
      </c>
      <c r="B126" s="74"/>
      <c r="C126" s="58">
        <f>SUM(V150:V151)</f>
        <v>318056</v>
      </c>
      <c r="D126" s="9" t="s">
        <v>107</v>
      </c>
      <c r="E126" s="59">
        <f>MIN(W150:W151)</f>
        <v>41730</v>
      </c>
      <c r="F126" s="9" t="s">
        <v>108</v>
      </c>
      <c r="G126" s="5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</row>
    <row r="127" spans="1:24" ht="14.4" x14ac:dyDescent="0.3">
      <c r="A127" s="9" t="s">
        <v>111</v>
      </c>
      <c r="B127" s="74"/>
      <c r="C127" s="58">
        <v>509303</v>
      </c>
      <c r="D127" s="9" t="s">
        <v>107</v>
      </c>
      <c r="E127" s="59">
        <v>44317</v>
      </c>
      <c r="F127" s="9" t="s">
        <v>108</v>
      </c>
      <c r="G127" s="56" t="s">
        <v>112</v>
      </c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</row>
    <row r="128" spans="1:24" ht="14.4" x14ac:dyDescent="0.3">
      <c r="A128" s="9" t="s">
        <v>113</v>
      </c>
      <c r="B128" s="74"/>
      <c r="C128" s="58">
        <v>22500</v>
      </c>
      <c r="D128" s="9" t="s">
        <v>107</v>
      </c>
      <c r="E128" s="59">
        <v>44181</v>
      </c>
      <c r="F128" s="9" t="s">
        <v>114</v>
      </c>
      <c r="G128" s="56" t="s">
        <v>115</v>
      </c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</row>
    <row r="129" spans="1:24" ht="14.4" x14ac:dyDescent="0.3">
      <c r="A129" s="9" t="s">
        <v>116</v>
      </c>
      <c r="B129" s="74"/>
      <c r="C129" s="58">
        <v>381930</v>
      </c>
      <c r="D129" s="9" t="s">
        <v>107</v>
      </c>
      <c r="E129" s="59">
        <v>43497</v>
      </c>
      <c r="F129" s="9" t="s">
        <v>108</v>
      </c>
      <c r="G129" s="56" t="s">
        <v>117</v>
      </c>
      <c r="H129" s="56" t="s">
        <v>118</v>
      </c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</row>
    <row r="130" spans="1:24" ht="14.4" x14ac:dyDescent="0.3">
      <c r="A130" s="9" t="s">
        <v>119</v>
      </c>
      <c r="B130" s="74"/>
      <c r="C130" s="58">
        <v>290500</v>
      </c>
      <c r="D130" s="9" t="s">
        <v>107</v>
      </c>
      <c r="E130" s="59">
        <v>43039</v>
      </c>
      <c r="F130" s="9" t="s">
        <v>120</v>
      </c>
      <c r="G130" s="56" t="s">
        <v>121</v>
      </c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</row>
    <row r="131" spans="1:24" ht="14.4" x14ac:dyDescent="0.3">
      <c r="A131" s="9" t="s">
        <v>122</v>
      </c>
      <c r="B131" s="74"/>
      <c r="C131" s="58">
        <v>439600</v>
      </c>
      <c r="D131" s="9" t="s">
        <v>107</v>
      </c>
      <c r="E131" s="59">
        <v>43039</v>
      </c>
      <c r="F131" s="9" t="s">
        <v>120</v>
      </c>
      <c r="G131" s="56" t="s">
        <v>123</v>
      </c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</row>
    <row r="132" spans="1:24" ht="14.4" x14ac:dyDescent="0.3">
      <c r="A132" s="9" t="s">
        <v>124</v>
      </c>
      <c r="B132" s="74"/>
      <c r="C132" s="58">
        <v>450559</v>
      </c>
      <c r="D132" s="9" t="s">
        <v>107</v>
      </c>
      <c r="E132" s="59">
        <v>42536</v>
      </c>
      <c r="F132" s="9" t="s">
        <v>108</v>
      </c>
      <c r="G132" s="56" t="s">
        <v>125</v>
      </c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</row>
    <row r="133" spans="1:24" ht="14.4" x14ac:dyDescent="0.3">
      <c r="A133" s="9" t="s">
        <v>126</v>
      </c>
      <c r="B133" s="74"/>
      <c r="C133" s="58">
        <v>94870.8</v>
      </c>
      <c r="D133" s="9" t="s">
        <v>107</v>
      </c>
      <c r="E133" s="59">
        <v>42370</v>
      </c>
      <c r="F133" s="9" t="s">
        <v>108</v>
      </c>
      <c r="G133" s="56" t="s">
        <v>127</v>
      </c>
      <c r="H133" s="56" t="s">
        <v>128</v>
      </c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</row>
    <row r="134" spans="1:24" ht="14.4" x14ac:dyDescent="0.3">
      <c r="A134" s="9" t="s">
        <v>129</v>
      </c>
      <c r="B134" s="74"/>
      <c r="C134" s="58">
        <v>293400</v>
      </c>
      <c r="D134" s="9" t="s">
        <v>107</v>
      </c>
      <c r="E134" s="59">
        <v>42095</v>
      </c>
      <c r="F134" s="9" t="s">
        <v>108</v>
      </c>
      <c r="G134" s="56" t="s">
        <v>130</v>
      </c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</row>
    <row r="135" spans="1:24" ht="14.4" x14ac:dyDescent="0.3">
      <c r="A135" s="9" t="s">
        <v>131</v>
      </c>
      <c r="B135" s="74"/>
      <c r="C135" s="58">
        <v>140180</v>
      </c>
      <c r="D135" s="9" t="s">
        <v>107</v>
      </c>
      <c r="E135" s="59">
        <v>42064</v>
      </c>
      <c r="F135" s="9" t="s">
        <v>108</v>
      </c>
      <c r="G135" s="56" t="s">
        <v>132</v>
      </c>
      <c r="H135" s="56" t="s">
        <v>133</v>
      </c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</row>
    <row r="136" spans="1:24" ht="14.4" x14ac:dyDescent="0.3">
      <c r="A136" s="9" t="s">
        <v>134</v>
      </c>
      <c r="B136" s="74"/>
      <c r="C136" s="58">
        <v>20500</v>
      </c>
      <c r="D136" s="9" t="s">
        <v>107</v>
      </c>
      <c r="E136" s="59">
        <v>42013</v>
      </c>
      <c r="F136" s="9" t="s">
        <v>108</v>
      </c>
      <c r="G136" s="56" t="s">
        <v>135</v>
      </c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</row>
    <row r="137" spans="1:24" ht="14.4" x14ac:dyDescent="0.3">
      <c r="A137" s="9" t="s">
        <v>136</v>
      </c>
      <c r="B137" s="74"/>
      <c r="C137" s="58">
        <v>66395</v>
      </c>
      <c r="D137" s="9" t="s">
        <v>107</v>
      </c>
      <c r="E137" s="59">
        <v>42005</v>
      </c>
      <c r="F137" s="9" t="s">
        <v>108</v>
      </c>
      <c r="G137" s="56" t="s">
        <v>137</v>
      </c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</row>
    <row r="138" spans="1:24" ht="14.4" x14ac:dyDescent="0.3">
      <c r="A138" s="9" t="s">
        <v>138</v>
      </c>
      <c r="B138" s="74"/>
      <c r="C138" s="58">
        <v>372500</v>
      </c>
      <c r="D138" s="9" t="s">
        <v>107</v>
      </c>
      <c r="E138" s="59">
        <v>41962</v>
      </c>
      <c r="F138" s="9" t="s">
        <v>108</v>
      </c>
      <c r="G138" s="56" t="s">
        <v>139</v>
      </c>
      <c r="H138" s="56" t="s">
        <v>140</v>
      </c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</row>
    <row r="139" spans="1:24" ht="14.4" x14ac:dyDescent="0.3">
      <c r="A139" s="9" t="s">
        <v>141</v>
      </c>
      <c r="B139" s="74"/>
      <c r="C139" s="58">
        <v>260074</v>
      </c>
      <c r="D139" s="9" t="s">
        <v>107</v>
      </c>
      <c r="E139" s="59">
        <v>41944</v>
      </c>
      <c r="F139" s="9" t="s">
        <v>108</v>
      </c>
      <c r="G139" s="56" t="s">
        <v>142</v>
      </c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</row>
    <row r="140" spans="1:24" ht="14.4" x14ac:dyDescent="0.3">
      <c r="A140" s="9" t="s">
        <v>143</v>
      </c>
      <c r="B140" s="74"/>
      <c r="C140" s="58">
        <v>290500</v>
      </c>
      <c r="D140" s="9" t="s">
        <v>107</v>
      </c>
      <c r="E140" s="59">
        <v>41735</v>
      </c>
      <c r="F140" s="9" t="s">
        <v>108</v>
      </c>
      <c r="G140" s="56" t="s">
        <v>144</v>
      </c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</row>
    <row r="141" spans="1:24" ht="14.4" x14ac:dyDescent="0.3">
      <c r="A141" s="9" t="s">
        <v>145</v>
      </c>
      <c r="B141" s="74"/>
      <c r="C141" s="58">
        <v>94527</v>
      </c>
      <c r="D141" s="9" t="s">
        <v>107</v>
      </c>
      <c r="E141" s="59">
        <v>41640</v>
      </c>
      <c r="F141" s="9" t="s">
        <v>108</v>
      </c>
      <c r="G141" s="56" t="s">
        <v>146</v>
      </c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</row>
    <row r="142" spans="1:24" ht="14.4" x14ac:dyDescent="0.3">
      <c r="A142" s="9" t="s">
        <v>147</v>
      </c>
      <c r="B142" s="74"/>
      <c r="C142" s="58">
        <v>878438</v>
      </c>
      <c r="D142" s="9" t="s">
        <v>107</v>
      </c>
      <c r="E142" s="59">
        <v>41640</v>
      </c>
      <c r="F142" s="9" t="s">
        <v>108</v>
      </c>
      <c r="G142" s="56" t="s">
        <v>148</v>
      </c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</row>
    <row r="143" spans="1:24" ht="14.4" x14ac:dyDescent="0.3">
      <c r="A143" s="9" t="s">
        <v>149</v>
      </c>
      <c r="B143" s="74"/>
      <c r="C143" s="58">
        <v>74267</v>
      </c>
      <c r="D143" s="9" t="s">
        <v>107</v>
      </c>
      <c r="E143" s="59">
        <v>41640</v>
      </c>
      <c r="F143" s="9" t="s">
        <v>108</v>
      </c>
      <c r="G143" s="56" t="s">
        <v>150</v>
      </c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</row>
    <row r="144" spans="1:24" ht="14.4" x14ac:dyDescent="0.3">
      <c r="A144" s="9" t="s">
        <v>151</v>
      </c>
      <c r="B144" s="74"/>
      <c r="C144" s="58">
        <v>93093</v>
      </c>
      <c r="D144" s="9" t="s">
        <v>107</v>
      </c>
      <c r="E144" s="59">
        <v>41640</v>
      </c>
      <c r="F144" s="9" t="s">
        <v>108</v>
      </c>
      <c r="G144" s="56" t="s">
        <v>152</v>
      </c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</row>
    <row r="145" spans="1:24" ht="14.4" x14ac:dyDescent="0.3">
      <c r="A145" s="9" t="s">
        <v>153</v>
      </c>
      <c r="B145" s="74"/>
      <c r="C145" s="58">
        <v>39483</v>
      </c>
      <c r="D145" s="9" t="s">
        <v>107</v>
      </c>
      <c r="E145" s="59">
        <v>41579</v>
      </c>
      <c r="F145" s="9" t="s">
        <v>108</v>
      </c>
      <c r="G145" s="56" t="s">
        <v>154</v>
      </c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</row>
    <row r="146" spans="1:24" ht="14.4" x14ac:dyDescent="0.3">
      <c r="A146" s="9" t="s">
        <v>155</v>
      </c>
      <c r="B146" s="74"/>
      <c r="C146" s="58">
        <v>224000</v>
      </c>
      <c r="D146" s="9" t="s">
        <v>107</v>
      </c>
      <c r="E146" s="59">
        <v>41548</v>
      </c>
      <c r="F146" s="9" t="s">
        <v>108</v>
      </c>
      <c r="G146" s="5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</row>
    <row r="147" spans="1:24" ht="14.4" x14ac:dyDescent="0.3">
      <c r="A147" s="9" t="s">
        <v>156</v>
      </c>
      <c r="B147" s="74"/>
      <c r="C147" s="58">
        <v>188500</v>
      </c>
      <c r="D147" s="9" t="s">
        <v>107</v>
      </c>
      <c r="E147" s="59">
        <v>41548</v>
      </c>
      <c r="F147" s="9" t="s">
        <v>108</v>
      </c>
      <c r="G147" s="56" t="s">
        <v>157</v>
      </c>
      <c r="H147"/>
      <c r="I147"/>
      <c r="J147"/>
      <c r="K147"/>
      <c r="L147"/>
      <c r="M147"/>
      <c r="N147"/>
      <c r="O147"/>
      <c r="P147" s="51" t="s">
        <v>106</v>
      </c>
      <c r="Q147"/>
      <c r="R147"/>
      <c r="S147"/>
      <c r="T147"/>
      <c r="U147" s="51" t="s">
        <v>110</v>
      </c>
      <c r="V147"/>
      <c r="W147"/>
      <c r="X147"/>
    </row>
    <row r="148" spans="1:24" ht="14.4" x14ac:dyDescent="0.3">
      <c r="A148" s="9" t="s">
        <v>158</v>
      </c>
      <c r="B148" s="74"/>
      <c r="C148" s="58">
        <v>54785</v>
      </c>
      <c r="D148" s="9" t="s">
        <v>107</v>
      </c>
      <c r="E148" s="59">
        <v>41467</v>
      </c>
      <c r="F148" s="9" t="s">
        <v>108</v>
      </c>
      <c r="G148" s="56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</row>
    <row r="149" spans="1:24" ht="14.4" x14ac:dyDescent="0.3">
      <c r="A149" s="9" t="s">
        <v>159</v>
      </c>
      <c r="B149" s="74"/>
      <c r="C149" s="58">
        <v>18000</v>
      </c>
      <c r="D149" s="9" t="s">
        <v>107</v>
      </c>
      <c r="E149" s="59">
        <v>41456</v>
      </c>
      <c r="F149" s="9" t="s">
        <v>108</v>
      </c>
      <c r="G149" s="56" t="s">
        <v>160</v>
      </c>
      <c r="H149"/>
      <c r="I149"/>
      <c r="J149"/>
      <c r="K149"/>
      <c r="L149"/>
      <c r="M149"/>
      <c r="N149"/>
      <c r="O149"/>
      <c r="P149" t="s">
        <v>161</v>
      </c>
      <c r="Q149" t="s">
        <v>99</v>
      </c>
      <c r="R149" t="s">
        <v>162</v>
      </c>
      <c r="S149"/>
      <c r="T149"/>
      <c r="U149" t="s">
        <v>161</v>
      </c>
      <c r="V149" t="s">
        <v>99</v>
      </c>
      <c r="W149" t="s">
        <v>162</v>
      </c>
      <c r="X149"/>
    </row>
    <row r="150" spans="1:24" ht="14.4" x14ac:dyDescent="0.3">
      <c r="A150" s="9" t="s">
        <v>163</v>
      </c>
      <c r="B150" s="74"/>
      <c r="C150" s="58">
        <v>5500</v>
      </c>
      <c r="D150" s="9" t="s">
        <v>107</v>
      </c>
      <c r="E150" s="59">
        <v>40330</v>
      </c>
      <c r="F150" s="9" t="s">
        <v>108</v>
      </c>
      <c r="G150" s="56" t="s">
        <v>164</v>
      </c>
      <c r="H150"/>
      <c r="I150"/>
      <c r="J150"/>
      <c r="K150"/>
      <c r="L150"/>
      <c r="M150"/>
      <c r="N150"/>
      <c r="O150"/>
      <c r="P150" t="s">
        <v>165</v>
      </c>
      <c r="Q150" s="4">
        <v>143967</v>
      </c>
      <c r="R150" s="55">
        <v>41879</v>
      </c>
      <c r="S150"/>
      <c r="T150"/>
      <c r="U150" t="s">
        <v>166</v>
      </c>
      <c r="V150" s="4">
        <v>58550</v>
      </c>
      <c r="W150" s="55">
        <v>41730</v>
      </c>
      <c r="X150"/>
    </row>
    <row r="151" spans="1:24" ht="14.4" x14ac:dyDescent="0.3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 t="s">
        <v>167</v>
      </c>
      <c r="Q151" s="4">
        <v>165306</v>
      </c>
      <c r="R151" s="55">
        <v>41821</v>
      </c>
      <c r="S151"/>
      <c r="T151"/>
      <c r="U151" t="s">
        <v>168</v>
      </c>
      <c r="V151" s="4">
        <v>259506</v>
      </c>
      <c r="W151" s="55">
        <v>42094</v>
      </c>
      <c r="X151"/>
    </row>
    <row r="152" spans="1:24" ht="14.4" x14ac:dyDescent="0.3">
      <c r="A152"/>
      <c r="B152"/>
      <c r="C152" s="5"/>
      <c r="D152"/>
      <c r="E152"/>
      <c r="F152"/>
      <c r="G152"/>
      <c r="H152"/>
      <c r="I152"/>
      <c r="J152"/>
      <c r="K152"/>
      <c r="L152"/>
      <c r="M152"/>
      <c r="N152"/>
      <c r="O152"/>
      <c r="P152" t="s">
        <v>169</v>
      </c>
      <c r="Q152" s="4">
        <v>138554</v>
      </c>
      <c r="R152" s="55">
        <v>41624</v>
      </c>
      <c r="S152"/>
      <c r="T152"/>
      <c r="U152"/>
      <c r="V152"/>
      <c r="W152"/>
      <c r="X152"/>
    </row>
    <row r="153" spans="1:24" ht="14.4" x14ac:dyDescent="0.3">
      <c r="A153"/>
      <c r="B153"/>
      <c r="C153" s="57"/>
      <c r="D153"/>
      <c r="E153"/>
      <c r="F153"/>
      <c r="G153"/>
      <c r="H153"/>
      <c r="I153"/>
      <c r="J153"/>
      <c r="K153"/>
      <c r="L153"/>
      <c r="M153"/>
      <c r="N153"/>
      <c r="O153"/>
      <c r="P153" t="s">
        <v>170</v>
      </c>
      <c r="Q153" s="4">
        <v>139339</v>
      </c>
      <c r="R153" s="55">
        <v>41624</v>
      </c>
      <c r="S153"/>
      <c r="T153"/>
      <c r="U153"/>
      <c r="V153"/>
      <c r="W153"/>
      <c r="X153"/>
    </row>
    <row r="154" spans="1:24" ht="14.4" x14ac:dyDescent="0.3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 t="s">
        <v>171</v>
      </c>
      <c r="Q154" s="4">
        <v>166423</v>
      </c>
      <c r="R154" s="55">
        <v>42005</v>
      </c>
      <c r="S154"/>
      <c r="T154"/>
      <c r="U154"/>
      <c r="V154"/>
      <c r="W154"/>
      <c r="X154"/>
    </row>
    <row r="155" spans="1:24" ht="14.4" x14ac:dyDescent="0.3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 t="s">
        <v>172</v>
      </c>
      <c r="Q155" s="4">
        <v>166423</v>
      </c>
      <c r="R155" s="55">
        <v>41699</v>
      </c>
      <c r="S155"/>
      <c r="T155"/>
      <c r="U155"/>
      <c r="V155"/>
      <c r="W155"/>
      <c r="X155"/>
    </row>
    <row r="156" spans="1:24" ht="14.4" x14ac:dyDescent="0.3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 t="s">
        <v>173</v>
      </c>
      <c r="Q156" s="4">
        <v>66171</v>
      </c>
      <c r="R156" s="55">
        <v>41708</v>
      </c>
      <c r="S156"/>
      <c r="T156"/>
      <c r="U156"/>
      <c r="V156"/>
      <c r="W156"/>
      <c r="X156"/>
    </row>
    <row r="157" spans="1:24" ht="14.4" x14ac:dyDescent="0.3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 t="s">
        <v>174</v>
      </c>
      <c r="Q157" s="4">
        <v>54611</v>
      </c>
      <c r="R157" s="55">
        <v>41617</v>
      </c>
      <c r="S157"/>
      <c r="T157"/>
      <c r="U157"/>
      <c r="V157"/>
      <c r="W157"/>
      <c r="X157"/>
    </row>
    <row r="158" spans="1:24" ht="14.4" x14ac:dyDescent="0.3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 t="s">
        <v>175</v>
      </c>
      <c r="Q158" s="4">
        <v>43231</v>
      </c>
      <c r="R158" s="55">
        <v>41617</v>
      </c>
      <c r="S158"/>
      <c r="T158"/>
      <c r="U158"/>
      <c r="V158"/>
      <c r="W158"/>
      <c r="X158"/>
    </row>
    <row r="159" spans="1:24" ht="14.4" x14ac:dyDescent="0.3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 t="s">
        <v>168</v>
      </c>
      <c r="Q159" s="4">
        <v>135801</v>
      </c>
      <c r="R159" s="55">
        <v>41425</v>
      </c>
      <c r="S159"/>
      <c r="T159"/>
      <c r="U159"/>
      <c r="V159"/>
      <c r="W159"/>
      <c r="X159"/>
    </row>
    <row r="164" spans="1:7" x14ac:dyDescent="0.25">
      <c r="A164" s="53" t="s">
        <v>219</v>
      </c>
    </row>
    <row r="166" spans="1:7" x14ac:dyDescent="0.25">
      <c r="A166" s="34" t="s">
        <v>176</v>
      </c>
      <c r="B166" s="34" t="s">
        <v>183</v>
      </c>
      <c r="C166" s="34" t="s">
        <v>177</v>
      </c>
      <c r="D166" s="34" t="s">
        <v>184</v>
      </c>
      <c r="E166" s="34" t="s">
        <v>193</v>
      </c>
      <c r="F166" s="34" t="s">
        <v>260</v>
      </c>
    </row>
    <row r="167" spans="1:7" x14ac:dyDescent="0.25">
      <c r="A167" s="34" t="s">
        <v>43</v>
      </c>
      <c r="B167" s="60">
        <f t="shared" ref="B167:B186" si="14">C3</f>
        <v>25700</v>
      </c>
      <c r="C167" s="47">
        <f t="shared" ref="C167:C186" si="15">W3</f>
        <v>2305812</v>
      </c>
      <c r="D167" s="34">
        <f t="shared" ref="D167:D212" si="16">_xlfn.RANK.EQ(B167,$B$167:$B$212,0)</f>
        <v>43</v>
      </c>
      <c r="E167" s="63">
        <f t="shared" ref="E167:E185" si="17">T102</f>
        <v>1.1607322371787465</v>
      </c>
      <c r="F167" s="73">
        <f>B3</f>
        <v>1098</v>
      </c>
      <c r="G167" s="73"/>
    </row>
    <row r="168" spans="1:7" x14ac:dyDescent="0.25">
      <c r="A168" s="34" t="s">
        <v>45</v>
      </c>
      <c r="B168" s="60">
        <f t="shared" si="14"/>
        <v>26197</v>
      </c>
      <c r="C168" s="47">
        <f t="shared" si="15"/>
        <v>8353868</v>
      </c>
      <c r="D168" s="34">
        <f t="shared" si="16"/>
        <v>42</v>
      </c>
      <c r="E168" s="63">
        <f t="shared" si="17"/>
        <v>1.0902820916394322</v>
      </c>
      <c r="F168" s="73">
        <f t="shared" ref="F168:F186" si="18">B4</f>
        <v>2100</v>
      </c>
      <c r="G168" s="73"/>
    </row>
    <row r="169" spans="1:7" x14ac:dyDescent="0.25">
      <c r="A169" s="34" t="s">
        <v>46</v>
      </c>
      <c r="B169" s="60">
        <f t="shared" si="14"/>
        <v>27886</v>
      </c>
      <c r="C169" s="47">
        <f t="shared" si="15"/>
        <v>7823567</v>
      </c>
      <c r="D169" s="34">
        <f t="shared" si="16"/>
        <v>41</v>
      </c>
      <c r="E169" s="63">
        <f t="shared" si="17"/>
        <v>1.2525911083393213</v>
      </c>
      <c r="F169" s="73">
        <f t="shared" si="18"/>
        <v>2640</v>
      </c>
      <c r="G169" s="73"/>
    </row>
    <row r="170" spans="1:7" x14ac:dyDescent="0.25">
      <c r="A170" s="34" t="s">
        <v>47</v>
      </c>
      <c r="B170" s="60">
        <f t="shared" si="14"/>
        <v>27893</v>
      </c>
      <c r="C170" s="47">
        <f t="shared" si="15"/>
        <v>2406</v>
      </c>
      <c r="D170" s="34">
        <f t="shared" si="16"/>
        <v>40</v>
      </c>
      <c r="E170" s="63">
        <f t="shared" si="17"/>
        <v>1.0235496289900248</v>
      </c>
      <c r="F170" s="73">
        <f t="shared" si="18"/>
        <v>171</v>
      </c>
      <c r="G170" s="73"/>
    </row>
    <row r="171" spans="1:7" x14ac:dyDescent="0.25">
      <c r="A171" s="34" t="s">
        <v>48</v>
      </c>
      <c r="B171" s="60">
        <f t="shared" si="14"/>
        <v>28033</v>
      </c>
      <c r="C171" s="47">
        <f t="shared" si="15"/>
        <v>4340</v>
      </c>
      <c r="D171" s="34">
        <f t="shared" si="16"/>
        <v>39</v>
      </c>
      <c r="E171" s="63">
        <f t="shared" si="17"/>
        <v>0.88386237552995384</v>
      </c>
      <c r="F171" s="73">
        <f t="shared" si="18"/>
        <v>171</v>
      </c>
      <c r="G171" s="73"/>
    </row>
    <row r="172" spans="1:7" x14ac:dyDescent="0.25">
      <c r="A172" s="34" t="s">
        <v>49</v>
      </c>
      <c r="B172" s="60">
        <f t="shared" si="14"/>
        <v>29127</v>
      </c>
      <c r="C172" s="47">
        <f t="shared" si="15"/>
        <v>12464364</v>
      </c>
      <c r="D172" s="34">
        <f t="shared" si="16"/>
        <v>38</v>
      </c>
      <c r="E172" s="63">
        <f t="shared" si="17"/>
        <v>1.5148480497290224</v>
      </c>
      <c r="F172" s="73">
        <f t="shared" si="18"/>
        <v>3450</v>
      </c>
      <c r="G172" s="73"/>
    </row>
    <row r="173" spans="1:7" x14ac:dyDescent="0.25">
      <c r="A173" s="34" t="s">
        <v>50</v>
      </c>
      <c r="B173" s="60">
        <f t="shared" si="14"/>
        <v>29451</v>
      </c>
      <c r="C173" s="47">
        <f t="shared" si="15"/>
        <v>11787013</v>
      </c>
      <c r="D173" s="34">
        <f t="shared" si="16"/>
        <v>37</v>
      </c>
      <c r="E173" s="63">
        <f t="shared" si="17"/>
        <v>1.09068463633424</v>
      </c>
      <c r="F173" s="73">
        <f t="shared" si="18"/>
        <v>2875</v>
      </c>
      <c r="G173" s="73"/>
    </row>
    <row r="174" spans="1:7" x14ac:dyDescent="0.25">
      <c r="A174" s="34" t="s">
        <v>51</v>
      </c>
      <c r="B174" s="60">
        <f t="shared" si="14"/>
        <v>31199</v>
      </c>
      <c r="C174" s="47">
        <f t="shared" si="15"/>
        <v>6394619</v>
      </c>
      <c r="D174" s="34">
        <f t="shared" si="16"/>
        <v>35</v>
      </c>
      <c r="E174" s="63">
        <f t="shared" si="17"/>
        <v>1.1572020466374306</v>
      </c>
      <c r="F174" s="73">
        <f t="shared" si="18"/>
        <v>3510</v>
      </c>
      <c r="G174" s="73"/>
    </row>
    <row r="175" spans="1:7" x14ac:dyDescent="0.25">
      <c r="A175" s="34" t="s">
        <v>52</v>
      </c>
      <c r="B175" s="60">
        <f t="shared" si="14"/>
        <v>31403</v>
      </c>
      <c r="C175" s="47">
        <f t="shared" si="15"/>
        <v>21280064</v>
      </c>
      <c r="D175" s="34">
        <f t="shared" si="16"/>
        <v>34</v>
      </c>
      <c r="E175" s="63">
        <f t="shared" si="17"/>
        <v>1.4004855533319758</v>
      </c>
      <c r="F175" s="73">
        <f t="shared" si="18"/>
        <v>3558</v>
      </c>
      <c r="G175" s="73"/>
    </row>
    <row r="176" spans="1:7" x14ac:dyDescent="0.25">
      <c r="A176" s="34" t="s">
        <v>53</v>
      </c>
      <c r="B176" s="60">
        <f t="shared" si="14"/>
        <v>32115</v>
      </c>
      <c r="C176" s="47">
        <f t="shared" si="15"/>
        <v>18926973</v>
      </c>
      <c r="D176" s="34">
        <f t="shared" si="16"/>
        <v>33</v>
      </c>
      <c r="E176" s="63">
        <f t="shared" si="17"/>
        <v>1.0490821380472892</v>
      </c>
      <c r="F176" s="73">
        <f t="shared" si="18"/>
        <v>3690</v>
      </c>
      <c r="G176" s="73"/>
    </row>
    <row r="177" spans="1:7" x14ac:dyDescent="0.25">
      <c r="A177" s="34" t="s">
        <v>54</v>
      </c>
      <c r="B177" s="60">
        <f t="shared" si="14"/>
        <v>32417</v>
      </c>
      <c r="C177" s="47">
        <f t="shared" si="15"/>
        <v>12464364</v>
      </c>
      <c r="D177" s="34">
        <f t="shared" si="16"/>
        <v>32</v>
      </c>
      <c r="E177" s="63">
        <f t="shared" si="17"/>
        <v>1.1775673393854256</v>
      </c>
      <c r="F177" s="73">
        <f t="shared" si="18"/>
        <v>3840</v>
      </c>
      <c r="G177" s="73"/>
    </row>
    <row r="178" spans="1:7" x14ac:dyDescent="0.25">
      <c r="A178" s="34" t="s">
        <v>55</v>
      </c>
      <c r="B178" s="60">
        <f t="shared" si="14"/>
        <v>35156</v>
      </c>
      <c r="C178" s="47">
        <f t="shared" si="15"/>
        <v>18711767</v>
      </c>
      <c r="D178" s="34">
        <f t="shared" si="16"/>
        <v>31</v>
      </c>
      <c r="E178" s="63">
        <f t="shared" si="17"/>
        <v>1.1237581740287528</v>
      </c>
      <c r="F178" s="73">
        <f t="shared" si="18"/>
        <v>3807</v>
      </c>
      <c r="G178" s="73"/>
    </row>
    <row r="179" spans="1:7" x14ac:dyDescent="0.25">
      <c r="A179" s="34" t="s">
        <v>56</v>
      </c>
      <c r="B179" s="60">
        <f t="shared" si="14"/>
        <v>24685</v>
      </c>
      <c r="C179" s="47">
        <f t="shared" si="15"/>
        <v>7329029</v>
      </c>
      <c r="D179" s="34">
        <f t="shared" si="16"/>
        <v>45</v>
      </c>
      <c r="E179" s="63">
        <f t="shared" si="17"/>
        <v>1.1396971427851901</v>
      </c>
      <c r="F179" s="73">
        <f t="shared" si="18"/>
        <v>1481</v>
      </c>
      <c r="G179" s="73"/>
    </row>
    <row r="180" spans="1:7" x14ac:dyDescent="0.25">
      <c r="A180" s="34" t="s">
        <v>57</v>
      </c>
      <c r="B180" s="60">
        <f t="shared" si="14"/>
        <v>39142</v>
      </c>
      <c r="C180" s="47">
        <f t="shared" si="15"/>
        <v>1588583</v>
      </c>
      <c r="D180" s="34">
        <f t="shared" si="16"/>
        <v>30</v>
      </c>
      <c r="E180" s="63">
        <f t="shared" si="17"/>
        <v>0.84091603144742832</v>
      </c>
      <c r="F180" s="73">
        <f t="shared" si="18"/>
        <v>1327</v>
      </c>
      <c r="G180" s="73"/>
    </row>
    <row r="181" spans="1:7" x14ac:dyDescent="0.25">
      <c r="A181" s="34" t="s">
        <v>58</v>
      </c>
      <c r="B181" s="60">
        <f t="shared" si="14"/>
        <v>39264</v>
      </c>
      <c r="C181" s="47">
        <f t="shared" si="15"/>
        <v>2038316</v>
      </c>
      <c r="D181" s="34">
        <f t="shared" si="16"/>
        <v>29</v>
      </c>
      <c r="E181" s="63">
        <f t="shared" si="17"/>
        <v>0.80387607569088892</v>
      </c>
      <c r="F181" s="73">
        <f t="shared" si="18"/>
        <v>740</v>
      </c>
      <c r="G181" s="73"/>
    </row>
    <row r="182" spans="1:7" x14ac:dyDescent="0.25">
      <c r="A182" s="34" t="s">
        <v>59</v>
      </c>
      <c r="B182" s="60">
        <f t="shared" si="14"/>
        <v>25355</v>
      </c>
      <c r="C182" s="47">
        <f t="shared" si="15"/>
        <v>1638696</v>
      </c>
      <c r="D182" s="34">
        <f t="shared" si="16"/>
        <v>44</v>
      </c>
      <c r="E182" s="63">
        <f t="shared" si="17"/>
        <v>1.2296827702406667</v>
      </c>
      <c r="F182" s="73">
        <f t="shared" si="18"/>
        <v>570</v>
      </c>
      <c r="G182" s="73"/>
    </row>
    <row r="183" spans="1:7" x14ac:dyDescent="0.25">
      <c r="A183" s="34" t="s">
        <v>60</v>
      </c>
      <c r="B183" s="60">
        <f t="shared" si="14"/>
        <v>22591</v>
      </c>
      <c r="C183" s="47">
        <f t="shared" si="15"/>
        <v>0</v>
      </c>
      <c r="D183" s="34">
        <f t="shared" si="16"/>
        <v>46</v>
      </c>
      <c r="E183" s="63" t="str">
        <f t="shared" si="17"/>
        <v/>
      </c>
      <c r="F183" s="73">
        <f t="shared" si="18"/>
        <v>990</v>
      </c>
      <c r="G183" s="73"/>
    </row>
    <row r="184" spans="1:7" x14ac:dyDescent="0.25">
      <c r="A184" s="34" t="s">
        <v>61</v>
      </c>
      <c r="B184" s="60">
        <f t="shared" si="14"/>
        <v>42238</v>
      </c>
      <c r="C184" s="47">
        <f t="shared" si="15"/>
        <v>22626444</v>
      </c>
      <c r="D184" s="34">
        <f t="shared" si="16"/>
        <v>9</v>
      </c>
      <c r="E184" s="63">
        <f t="shared" si="17"/>
        <v>0.90987912441549534</v>
      </c>
      <c r="F184" s="73">
        <f t="shared" si="18"/>
        <v>3600</v>
      </c>
      <c r="G184" s="73"/>
    </row>
    <row r="185" spans="1:7" x14ac:dyDescent="0.25">
      <c r="A185" s="34" t="s">
        <v>62</v>
      </c>
      <c r="B185" s="60">
        <f t="shared" si="14"/>
        <v>42977</v>
      </c>
      <c r="C185" s="47">
        <f t="shared" si="15"/>
        <v>10262515</v>
      </c>
      <c r="D185" s="34">
        <f t="shared" si="16"/>
        <v>6</v>
      </c>
      <c r="E185" s="63">
        <f t="shared" si="17"/>
        <v>0.99914577847028541</v>
      </c>
      <c r="F185" s="73">
        <f t="shared" si="18"/>
        <v>2880</v>
      </c>
      <c r="G185" s="73"/>
    </row>
    <row r="186" spans="1:7" x14ac:dyDescent="0.25">
      <c r="A186" s="34" t="s">
        <v>92</v>
      </c>
      <c r="B186" s="60">
        <f t="shared" si="14"/>
        <v>30893</v>
      </c>
      <c r="C186" s="47">
        <f t="shared" si="15"/>
        <v>8172000</v>
      </c>
      <c r="D186" s="34">
        <f t="shared" si="16"/>
        <v>36</v>
      </c>
      <c r="E186" s="34">
        <v>0</v>
      </c>
      <c r="F186" s="73">
        <f t="shared" si="18"/>
        <v>3510</v>
      </c>
      <c r="G186" s="73"/>
    </row>
    <row r="187" spans="1:7" x14ac:dyDescent="0.25">
      <c r="A187" s="34" t="s">
        <v>106</v>
      </c>
      <c r="B187" s="61">
        <f t="shared" ref="B187:B212" si="19">E125</f>
        <v>41425</v>
      </c>
      <c r="C187" s="62">
        <f t="shared" ref="C187:C212" si="20">C125</f>
        <v>1219826</v>
      </c>
      <c r="D187" s="34">
        <f t="shared" si="16"/>
        <v>27</v>
      </c>
      <c r="E187" s="34">
        <v>0</v>
      </c>
      <c r="F187" s="34">
        <f>B125</f>
        <v>0</v>
      </c>
    </row>
    <row r="188" spans="1:7" x14ac:dyDescent="0.25">
      <c r="A188" s="34" t="s">
        <v>110</v>
      </c>
      <c r="B188" s="61">
        <f t="shared" si="19"/>
        <v>41730</v>
      </c>
      <c r="C188" s="62">
        <f t="shared" si="20"/>
        <v>318056</v>
      </c>
      <c r="D188" s="34">
        <f t="shared" si="16"/>
        <v>17</v>
      </c>
      <c r="E188" s="34">
        <v>0</v>
      </c>
      <c r="F188" s="34">
        <f t="shared" ref="F188:F212" si="21">B126</f>
        <v>0</v>
      </c>
    </row>
    <row r="189" spans="1:7" x14ac:dyDescent="0.25">
      <c r="A189" s="34" t="s">
        <v>111</v>
      </c>
      <c r="B189" s="61">
        <f t="shared" si="19"/>
        <v>44317</v>
      </c>
      <c r="C189" s="62">
        <f t="shared" si="20"/>
        <v>509303</v>
      </c>
      <c r="D189" s="34">
        <f t="shared" si="16"/>
        <v>1</v>
      </c>
      <c r="E189" s="34">
        <v>0</v>
      </c>
      <c r="F189" s="34">
        <f t="shared" si="21"/>
        <v>0</v>
      </c>
    </row>
    <row r="190" spans="1:7" x14ac:dyDescent="0.25">
      <c r="A190" s="34" t="s">
        <v>113</v>
      </c>
      <c r="B190" s="61">
        <f t="shared" si="19"/>
        <v>44181</v>
      </c>
      <c r="C190" s="62">
        <f t="shared" si="20"/>
        <v>22500</v>
      </c>
      <c r="D190" s="34">
        <f t="shared" si="16"/>
        <v>2</v>
      </c>
      <c r="E190" s="34">
        <v>0</v>
      </c>
      <c r="F190" s="34">
        <f t="shared" si="21"/>
        <v>0</v>
      </c>
    </row>
    <row r="191" spans="1:7" x14ac:dyDescent="0.25">
      <c r="A191" s="34" t="s">
        <v>116</v>
      </c>
      <c r="B191" s="61">
        <f t="shared" si="19"/>
        <v>43497</v>
      </c>
      <c r="C191" s="62">
        <f t="shared" si="20"/>
        <v>381930</v>
      </c>
      <c r="D191" s="34">
        <f t="shared" si="16"/>
        <v>3</v>
      </c>
      <c r="E191" s="34">
        <v>0</v>
      </c>
      <c r="F191" s="34">
        <f t="shared" si="21"/>
        <v>0</v>
      </c>
    </row>
    <row r="192" spans="1:7" x14ac:dyDescent="0.25">
      <c r="A192" s="34" t="s">
        <v>119</v>
      </c>
      <c r="B192" s="61">
        <f t="shared" si="19"/>
        <v>43039</v>
      </c>
      <c r="C192" s="62">
        <f t="shared" si="20"/>
        <v>290500</v>
      </c>
      <c r="D192" s="34">
        <f t="shared" si="16"/>
        <v>4</v>
      </c>
      <c r="E192" s="34">
        <v>0</v>
      </c>
      <c r="F192" s="34">
        <f t="shared" si="21"/>
        <v>0</v>
      </c>
    </row>
    <row r="193" spans="1:6" x14ac:dyDescent="0.25">
      <c r="A193" s="34" t="s">
        <v>122</v>
      </c>
      <c r="B193" s="61">
        <f t="shared" si="19"/>
        <v>43039</v>
      </c>
      <c r="C193" s="62">
        <f t="shared" si="20"/>
        <v>439600</v>
      </c>
      <c r="D193" s="34">
        <f t="shared" si="16"/>
        <v>4</v>
      </c>
      <c r="E193" s="34">
        <v>0</v>
      </c>
      <c r="F193" s="34">
        <f t="shared" si="21"/>
        <v>0</v>
      </c>
    </row>
    <row r="194" spans="1:6" x14ac:dyDescent="0.25">
      <c r="A194" s="34" t="s">
        <v>124</v>
      </c>
      <c r="B194" s="61">
        <f t="shared" si="19"/>
        <v>42536</v>
      </c>
      <c r="C194" s="62">
        <f t="shared" si="20"/>
        <v>450559</v>
      </c>
      <c r="D194" s="34">
        <f t="shared" si="16"/>
        <v>7</v>
      </c>
      <c r="E194" s="34">
        <v>0</v>
      </c>
      <c r="F194" s="34">
        <f t="shared" si="21"/>
        <v>0</v>
      </c>
    </row>
    <row r="195" spans="1:6" x14ac:dyDescent="0.25">
      <c r="A195" s="34" t="s">
        <v>126</v>
      </c>
      <c r="B195" s="61">
        <f t="shared" si="19"/>
        <v>42370</v>
      </c>
      <c r="C195" s="62">
        <f t="shared" si="20"/>
        <v>94870.8</v>
      </c>
      <c r="D195" s="34">
        <f t="shared" si="16"/>
        <v>8</v>
      </c>
      <c r="E195" s="34">
        <v>0</v>
      </c>
      <c r="F195" s="34">
        <f t="shared" si="21"/>
        <v>0</v>
      </c>
    </row>
    <row r="196" spans="1:6" x14ac:dyDescent="0.25">
      <c r="A196" s="34" t="s">
        <v>129</v>
      </c>
      <c r="B196" s="61">
        <f t="shared" si="19"/>
        <v>42095</v>
      </c>
      <c r="C196" s="62">
        <f t="shared" si="20"/>
        <v>293400</v>
      </c>
      <c r="D196" s="34">
        <f t="shared" si="16"/>
        <v>10</v>
      </c>
      <c r="E196" s="34">
        <v>0</v>
      </c>
      <c r="F196" s="34">
        <f t="shared" si="21"/>
        <v>0</v>
      </c>
    </row>
    <row r="197" spans="1:6" x14ac:dyDescent="0.25">
      <c r="A197" s="34" t="s">
        <v>131</v>
      </c>
      <c r="B197" s="61">
        <f t="shared" si="19"/>
        <v>42064</v>
      </c>
      <c r="C197" s="62">
        <f t="shared" si="20"/>
        <v>140180</v>
      </c>
      <c r="D197" s="34">
        <f t="shared" si="16"/>
        <v>11</v>
      </c>
      <c r="E197" s="34">
        <v>0</v>
      </c>
      <c r="F197" s="34">
        <f t="shared" si="21"/>
        <v>0</v>
      </c>
    </row>
    <row r="198" spans="1:6" x14ac:dyDescent="0.25">
      <c r="A198" s="34" t="s">
        <v>134</v>
      </c>
      <c r="B198" s="61">
        <f t="shared" si="19"/>
        <v>42013</v>
      </c>
      <c r="C198" s="62">
        <f t="shared" si="20"/>
        <v>20500</v>
      </c>
      <c r="D198" s="34">
        <f t="shared" si="16"/>
        <v>12</v>
      </c>
      <c r="E198" s="34">
        <v>0</v>
      </c>
      <c r="F198" s="34">
        <f t="shared" si="21"/>
        <v>0</v>
      </c>
    </row>
    <row r="199" spans="1:6" x14ac:dyDescent="0.25">
      <c r="A199" s="34" t="s">
        <v>136</v>
      </c>
      <c r="B199" s="61">
        <f t="shared" si="19"/>
        <v>42005</v>
      </c>
      <c r="C199" s="62">
        <f t="shared" si="20"/>
        <v>66395</v>
      </c>
      <c r="D199" s="34">
        <f t="shared" si="16"/>
        <v>13</v>
      </c>
      <c r="E199" s="34">
        <v>0</v>
      </c>
      <c r="F199" s="34">
        <f t="shared" si="21"/>
        <v>0</v>
      </c>
    </row>
    <row r="200" spans="1:6" x14ac:dyDescent="0.25">
      <c r="A200" s="34" t="s">
        <v>138</v>
      </c>
      <c r="B200" s="61">
        <f t="shared" si="19"/>
        <v>41962</v>
      </c>
      <c r="C200" s="62">
        <f t="shared" si="20"/>
        <v>372500</v>
      </c>
      <c r="D200" s="34">
        <f t="shared" si="16"/>
        <v>14</v>
      </c>
      <c r="E200" s="34">
        <v>0</v>
      </c>
      <c r="F200" s="34">
        <f t="shared" si="21"/>
        <v>0</v>
      </c>
    </row>
    <row r="201" spans="1:6" x14ac:dyDescent="0.25">
      <c r="A201" s="34" t="s">
        <v>141</v>
      </c>
      <c r="B201" s="61">
        <f t="shared" si="19"/>
        <v>41944</v>
      </c>
      <c r="C201" s="62">
        <f t="shared" si="20"/>
        <v>260074</v>
      </c>
      <c r="D201" s="34">
        <f t="shared" si="16"/>
        <v>15</v>
      </c>
      <c r="E201" s="34">
        <v>0</v>
      </c>
      <c r="F201" s="34">
        <f t="shared" si="21"/>
        <v>0</v>
      </c>
    </row>
    <row r="202" spans="1:6" x14ac:dyDescent="0.25">
      <c r="A202" s="34" t="s">
        <v>143</v>
      </c>
      <c r="B202" s="61">
        <f t="shared" si="19"/>
        <v>41735</v>
      </c>
      <c r="C202" s="62">
        <f t="shared" si="20"/>
        <v>290500</v>
      </c>
      <c r="D202" s="34">
        <f t="shared" si="16"/>
        <v>16</v>
      </c>
      <c r="E202" s="34">
        <v>0</v>
      </c>
      <c r="F202" s="34">
        <f t="shared" si="21"/>
        <v>0</v>
      </c>
    </row>
    <row r="203" spans="1:6" x14ac:dyDescent="0.25">
      <c r="A203" s="34" t="s">
        <v>145</v>
      </c>
      <c r="B203" s="61">
        <f t="shared" si="19"/>
        <v>41640</v>
      </c>
      <c r="C203" s="62">
        <f t="shared" si="20"/>
        <v>94527</v>
      </c>
      <c r="D203" s="34">
        <f t="shared" si="16"/>
        <v>18</v>
      </c>
      <c r="E203" s="34">
        <v>0</v>
      </c>
      <c r="F203" s="34">
        <f t="shared" si="21"/>
        <v>0</v>
      </c>
    </row>
    <row r="204" spans="1:6" x14ac:dyDescent="0.25">
      <c r="A204" s="34" t="s">
        <v>147</v>
      </c>
      <c r="B204" s="61">
        <f t="shared" si="19"/>
        <v>41640</v>
      </c>
      <c r="C204" s="62">
        <f t="shared" si="20"/>
        <v>878438</v>
      </c>
      <c r="D204" s="34">
        <f t="shared" si="16"/>
        <v>18</v>
      </c>
      <c r="E204" s="34">
        <v>0</v>
      </c>
      <c r="F204" s="34">
        <f t="shared" si="21"/>
        <v>0</v>
      </c>
    </row>
    <row r="205" spans="1:6" x14ac:dyDescent="0.25">
      <c r="A205" s="34" t="s">
        <v>149</v>
      </c>
      <c r="B205" s="61">
        <f t="shared" si="19"/>
        <v>41640</v>
      </c>
      <c r="C205" s="62">
        <f t="shared" si="20"/>
        <v>74267</v>
      </c>
      <c r="D205" s="34">
        <f t="shared" si="16"/>
        <v>18</v>
      </c>
      <c r="E205" s="34">
        <v>0</v>
      </c>
      <c r="F205" s="34">
        <f t="shared" si="21"/>
        <v>0</v>
      </c>
    </row>
    <row r="206" spans="1:6" x14ac:dyDescent="0.25">
      <c r="A206" s="34" t="s">
        <v>151</v>
      </c>
      <c r="B206" s="61">
        <f t="shared" si="19"/>
        <v>41640</v>
      </c>
      <c r="C206" s="62">
        <f t="shared" si="20"/>
        <v>93093</v>
      </c>
      <c r="D206" s="34">
        <f t="shared" si="16"/>
        <v>18</v>
      </c>
      <c r="E206" s="34">
        <v>0</v>
      </c>
      <c r="F206" s="34">
        <f t="shared" si="21"/>
        <v>0</v>
      </c>
    </row>
    <row r="207" spans="1:6" x14ac:dyDescent="0.25">
      <c r="A207" s="34" t="s">
        <v>153</v>
      </c>
      <c r="B207" s="61">
        <f t="shared" si="19"/>
        <v>41579</v>
      </c>
      <c r="C207" s="62">
        <f t="shared" si="20"/>
        <v>39483</v>
      </c>
      <c r="D207" s="34">
        <f t="shared" si="16"/>
        <v>22</v>
      </c>
      <c r="E207" s="34">
        <v>0</v>
      </c>
      <c r="F207" s="34">
        <f t="shared" si="21"/>
        <v>0</v>
      </c>
    </row>
    <row r="208" spans="1:6" x14ac:dyDescent="0.25">
      <c r="A208" s="34" t="s">
        <v>155</v>
      </c>
      <c r="B208" s="61">
        <f t="shared" si="19"/>
        <v>41548</v>
      </c>
      <c r="C208" s="62">
        <f t="shared" si="20"/>
        <v>224000</v>
      </c>
      <c r="D208" s="34">
        <f t="shared" si="16"/>
        <v>23</v>
      </c>
      <c r="E208" s="34">
        <v>0</v>
      </c>
      <c r="F208" s="34">
        <f t="shared" si="21"/>
        <v>0</v>
      </c>
    </row>
    <row r="209" spans="1:6" x14ac:dyDescent="0.25">
      <c r="A209" s="34" t="s">
        <v>156</v>
      </c>
      <c r="B209" s="61">
        <f t="shared" si="19"/>
        <v>41548</v>
      </c>
      <c r="C209" s="62">
        <f t="shared" si="20"/>
        <v>188500</v>
      </c>
      <c r="D209" s="34">
        <f t="shared" si="16"/>
        <v>23</v>
      </c>
      <c r="E209" s="34">
        <v>0</v>
      </c>
      <c r="F209" s="34">
        <f t="shared" si="21"/>
        <v>0</v>
      </c>
    </row>
    <row r="210" spans="1:6" x14ac:dyDescent="0.25">
      <c r="A210" s="34" t="s">
        <v>158</v>
      </c>
      <c r="B210" s="61">
        <f t="shared" si="19"/>
        <v>41467</v>
      </c>
      <c r="C210" s="62">
        <f t="shared" si="20"/>
        <v>54785</v>
      </c>
      <c r="D210" s="34">
        <f t="shared" si="16"/>
        <v>25</v>
      </c>
      <c r="E210" s="34">
        <v>0</v>
      </c>
      <c r="F210" s="34">
        <f t="shared" si="21"/>
        <v>0</v>
      </c>
    </row>
    <row r="211" spans="1:6" x14ac:dyDescent="0.25">
      <c r="A211" s="34" t="s">
        <v>159</v>
      </c>
      <c r="B211" s="61">
        <f t="shared" si="19"/>
        <v>41456</v>
      </c>
      <c r="C211" s="62">
        <f t="shared" si="20"/>
        <v>18000</v>
      </c>
      <c r="D211" s="34">
        <f t="shared" si="16"/>
        <v>26</v>
      </c>
      <c r="E211" s="34">
        <v>0</v>
      </c>
      <c r="F211" s="34">
        <f t="shared" si="21"/>
        <v>0</v>
      </c>
    </row>
    <row r="212" spans="1:6" x14ac:dyDescent="0.25">
      <c r="A212" s="34" t="s">
        <v>163</v>
      </c>
      <c r="B212" s="61">
        <f t="shared" si="19"/>
        <v>40330</v>
      </c>
      <c r="C212" s="62">
        <f t="shared" si="20"/>
        <v>5500</v>
      </c>
      <c r="D212" s="34">
        <f t="shared" si="16"/>
        <v>28</v>
      </c>
      <c r="E212" s="34">
        <v>0</v>
      </c>
      <c r="F212" s="34">
        <f t="shared" si="21"/>
        <v>0</v>
      </c>
    </row>
    <row r="214" spans="1:6" x14ac:dyDescent="0.25">
      <c r="A214" s="53" t="s">
        <v>220</v>
      </c>
    </row>
    <row r="215" spans="1:6" x14ac:dyDescent="0.25">
      <c r="A215" s="34" t="s">
        <v>176</v>
      </c>
      <c r="B215" s="34" t="s">
        <v>183</v>
      </c>
      <c r="C215" s="34" t="s">
        <v>177</v>
      </c>
      <c r="D215" s="34" t="s">
        <v>184</v>
      </c>
      <c r="E215" s="34" t="s">
        <v>193</v>
      </c>
      <c r="F215" s="34" t="s">
        <v>260</v>
      </c>
    </row>
    <row r="216" spans="1:6" x14ac:dyDescent="0.25">
      <c r="A216" s="34" t="s">
        <v>43</v>
      </c>
      <c r="B216" s="60">
        <f>B167</f>
        <v>25700</v>
      </c>
      <c r="C216" s="47">
        <f>C167</f>
        <v>2305812</v>
      </c>
      <c r="D216" s="34">
        <f>_xlfn.RANK.EQ(B216,$B$216:$B$235,0)</f>
        <v>17</v>
      </c>
      <c r="E216" s="63">
        <f>E167</f>
        <v>1.1607322371787465</v>
      </c>
      <c r="F216" s="76">
        <f>F167</f>
        <v>1098</v>
      </c>
    </row>
    <row r="217" spans="1:6" x14ac:dyDescent="0.25">
      <c r="A217" s="34" t="s">
        <v>45</v>
      </c>
      <c r="B217" s="60">
        <f t="shared" ref="B217:C232" si="22">B168</f>
        <v>26197</v>
      </c>
      <c r="C217" s="47">
        <f t="shared" si="22"/>
        <v>8353868</v>
      </c>
      <c r="D217" s="34">
        <f t="shared" ref="D217:D235" si="23">_xlfn.RANK.EQ(B217,$B$216:$B$235,0)</f>
        <v>16</v>
      </c>
      <c r="E217" s="63">
        <f t="shared" ref="E217:F235" si="24">E168</f>
        <v>1.0902820916394322</v>
      </c>
      <c r="F217" s="76">
        <f t="shared" si="24"/>
        <v>2100</v>
      </c>
    </row>
    <row r="218" spans="1:6" x14ac:dyDescent="0.25">
      <c r="A218" s="34" t="s">
        <v>46</v>
      </c>
      <c r="B218" s="60">
        <f t="shared" si="22"/>
        <v>27886</v>
      </c>
      <c r="C218" s="47">
        <f t="shared" si="22"/>
        <v>7823567</v>
      </c>
      <c r="D218" s="34">
        <f t="shared" si="23"/>
        <v>15</v>
      </c>
      <c r="E218" s="63">
        <f t="shared" si="24"/>
        <v>1.2525911083393213</v>
      </c>
      <c r="F218" s="76">
        <f t="shared" si="24"/>
        <v>2640</v>
      </c>
    </row>
    <row r="219" spans="1:6" x14ac:dyDescent="0.25">
      <c r="A219" s="34" t="s">
        <v>47</v>
      </c>
      <c r="B219" s="60">
        <f t="shared" si="22"/>
        <v>27893</v>
      </c>
      <c r="C219" s="47">
        <f t="shared" si="22"/>
        <v>2406</v>
      </c>
      <c r="D219" s="34">
        <f t="shared" si="23"/>
        <v>14</v>
      </c>
      <c r="E219" s="63">
        <f t="shared" si="24"/>
        <v>1.0235496289900248</v>
      </c>
      <c r="F219" s="76">
        <f t="shared" si="24"/>
        <v>171</v>
      </c>
    </row>
    <row r="220" spans="1:6" x14ac:dyDescent="0.25">
      <c r="A220" s="34" t="s">
        <v>48</v>
      </c>
      <c r="B220" s="60">
        <f t="shared" si="22"/>
        <v>28033</v>
      </c>
      <c r="C220" s="47">
        <f t="shared" si="22"/>
        <v>4340</v>
      </c>
      <c r="D220" s="34">
        <f t="shared" si="23"/>
        <v>13</v>
      </c>
      <c r="E220" s="63">
        <f t="shared" si="24"/>
        <v>0.88386237552995384</v>
      </c>
      <c r="F220" s="76">
        <f t="shared" si="24"/>
        <v>171</v>
      </c>
    </row>
    <row r="221" spans="1:6" x14ac:dyDescent="0.25">
      <c r="A221" s="34" t="s">
        <v>49</v>
      </c>
      <c r="B221" s="60">
        <f t="shared" si="22"/>
        <v>29127</v>
      </c>
      <c r="C221" s="47">
        <f t="shared" si="22"/>
        <v>12464364</v>
      </c>
      <c r="D221" s="34">
        <f t="shared" si="23"/>
        <v>12</v>
      </c>
      <c r="E221" s="63">
        <f t="shared" si="24"/>
        <v>1.5148480497290224</v>
      </c>
      <c r="F221" s="76">
        <f t="shared" si="24"/>
        <v>3450</v>
      </c>
    </row>
    <row r="222" spans="1:6" x14ac:dyDescent="0.25">
      <c r="A222" s="34" t="s">
        <v>50</v>
      </c>
      <c r="B222" s="60">
        <f t="shared" si="22"/>
        <v>29451</v>
      </c>
      <c r="C222" s="47">
        <f t="shared" si="22"/>
        <v>11787013</v>
      </c>
      <c r="D222" s="34">
        <f t="shared" si="23"/>
        <v>11</v>
      </c>
      <c r="E222" s="63">
        <f t="shared" si="24"/>
        <v>1.09068463633424</v>
      </c>
      <c r="F222" s="76">
        <f t="shared" si="24"/>
        <v>2875</v>
      </c>
    </row>
    <row r="223" spans="1:6" x14ac:dyDescent="0.25">
      <c r="A223" s="34" t="s">
        <v>51</v>
      </c>
      <c r="B223" s="60">
        <f t="shared" si="22"/>
        <v>31199</v>
      </c>
      <c r="C223" s="47">
        <f t="shared" si="22"/>
        <v>6394619</v>
      </c>
      <c r="D223" s="34">
        <f t="shared" si="23"/>
        <v>9</v>
      </c>
      <c r="E223" s="63">
        <f t="shared" si="24"/>
        <v>1.1572020466374306</v>
      </c>
      <c r="F223" s="76">
        <f t="shared" si="24"/>
        <v>3510</v>
      </c>
    </row>
    <row r="224" spans="1:6" x14ac:dyDescent="0.25">
      <c r="A224" s="34" t="s">
        <v>52</v>
      </c>
      <c r="B224" s="60">
        <f t="shared" si="22"/>
        <v>31403</v>
      </c>
      <c r="C224" s="47">
        <f t="shared" si="22"/>
        <v>21280064</v>
      </c>
      <c r="D224" s="34">
        <f t="shared" si="23"/>
        <v>8</v>
      </c>
      <c r="E224" s="63">
        <f t="shared" si="24"/>
        <v>1.4004855533319758</v>
      </c>
      <c r="F224" s="76">
        <f t="shared" si="24"/>
        <v>3558</v>
      </c>
    </row>
    <row r="225" spans="1:6" x14ac:dyDescent="0.25">
      <c r="A225" s="34" t="s">
        <v>53</v>
      </c>
      <c r="B225" s="60">
        <f t="shared" si="22"/>
        <v>32115</v>
      </c>
      <c r="C225" s="47">
        <f t="shared" si="22"/>
        <v>18926973</v>
      </c>
      <c r="D225" s="34">
        <f t="shared" si="23"/>
        <v>7</v>
      </c>
      <c r="E225" s="63">
        <f t="shared" si="24"/>
        <v>1.0490821380472892</v>
      </c>
      <c r="F225" s="76">
        <f t="shared" si="24"/>
        <v>3690</v>
      </c>
    </row>
    <row r="226" spans="1:6" x14ac:dyDescent="0.25">
      <c r="A226" s="34" t="s">
        <v>54</v>
      </c>
      <c r="B226" s="60">
        <f t="shared" si="22"/>
        <v>32417</v>
      </c>
      <c r="C226" s="47">
        <f t="shared" si="22"/>
        <v>12464364</v>
      </c>
      <c r="D226" s="34">
        <f t="shared" si="23"/>
        <v>6</v>
      </c>
      <c r="E226" s="63">
        <f t="shared" si="24"/>
        <v>1.1775673393854256</v>
      </c>
      <c r="F226" s="76">
        <f t="shared" si="24"/>
        <v>3840</v>
      </c>
    </row>
    <row r="227" spans="1:6" x14ac:dyDescent="0.25">
      <c r="A227" s="34" t="s">
        <v>55</v>
      </c>
      <c r="B227" s="60">
        <f t="shared" si="22"/>
        <v>35156</v>
      </c>
      <c r="C227" s="47">
        <f t="shared" si="22"/>
        <v>18711767</v>
      </c>
      <c r="D227" s="34">
        <f t="shared" si="23"/>
        <v>5</v>
      </c>
      <c r="E227" s="63">
        <f t="shared" si="24"/>
        <v>1.1237581740287528</v>
      </c>
      <c r="F227" s="76">
        <f t="shared" si="24"/>
        <v>3807</v>
      </c>
    </row>
    <row r="228" spans="1:6" x14ac:dyDescent="0.25">
      <c r="A228" s="34" t="s">
        <v>56</v>
      </c>
      <c r="B228" s="60">
        <f t="shared" si="22"/>
        <v>24685</v>
      </c>
      <c r="C228" s="47">
        <f t="shared" si="22"/>
        <v>7329029</v>
      </c>
      <c r="D228" s="34">
        <f t="shared" si="23"/>
        <v>19</v>
      </c>
      <c r="E228" s="63">
        <f t="shared" si="24"/>
        <v>1.1396971427851901</v>
      </c>
      <c r="F228" s="76">
        <f t="shared" si="24"/>
        <v>1481</v>
      </c>
    </row>
    <row r="229" spans="1:6" x14ac:dyDescent="0.25">
      <c r="A229" s="34" t="s">
        <v>57</v>
      </c>
      <c r="B229" s="60">
        <f t="shared" si="22"/>
        <v>39142</v>
      </c>
      <c r="C229" s="47">
        <f t="shared" si="22"/>
        <v>1588583</v>
      </c>
      <c r="D229" s="34">
        <f t="shared" si="23"/>
        <v>4</v>
      </c>
      <c r="E229" s="63">
        <f t="shared" si="24"/>
        <v>0.84091603144742832</v>
      </c>
      <c r="F229" s="76">
        <f t="shared" si="24"/>
        <v>1327</v>
      </c>
    </row>
    <row r="230" spans="1:6" x14ac:dyDescent="0.25">
      <c r="A230" s="34" t="s">
        <v>58</v>
      </c>
      <c r="B230" s="60">
        <f t="shared" si="22"/>
        <v>39264</v>
      </c>
      <c r="C230" s="47">
        <f t="shared" si="22"/>
        <v>2038316</v>
      </c>
      <c r="D230" s="34">
        <f t="shared" si="23"/>
        <v>3</v>
      </c>
      <c r="E230" s="63">
        <f t="shared" si="24"/>
        <v>0.80387607569088892</v>
      </c>
      <c r="F230" s="76">
        <f t="shared" si="24"/>
        <v>740</v>
      </c>
    </row>
    <row r="231" spans="1:6" x14ac:dyDescent="0.25">
      <c r="A231" s="34" t="s">
        <v>59</v>
      </c>
      <c r="B231" s="60">
        <f t="shared" si="22"/>
        <v>25355</v>
      </c>
      <c r="C231" s="47">
        <f t="shared" si="22"/>
        <v>1638696</v>
      </c>
      <c r="D231" s="34">
        <f t="shared" si="23"/>
        <v>18</v>
      </c>
      <c r="E231" s="63">
        <f t="shared" si="24"/>
        <v>1.2296827702406667</v>
      </c>
      <c r="F231" s="76">
        <f t="shared" si="24"/>
        <v>570</v>
      </c>
    </row>
    <row r="232" spans="1:6" x14ac:dyDescent="0.25">
      <c r="A232" s="34" t="s">
        <v>60</v>
      </c>
      <c r="B232" s="60">
        <f t="shared" si="22"/>
        <v>22591</v>
      </c>
      <c r="C232" s="47">
        <f t="shared" si="22"/>
        <v>0</v>
      </c>
      <c r="D232" s="34">
        <f t="shared" si="23"/>
        <v>20</v>
      </c>
      <c r="E232" s="63" t="str">
        <f t="shared" si="24"/>
        <v/>
      </c>
      <c r="F232" s="76">
        <f t="shared" si="24"/>
        <v>990</v>
      </c>
    </row>
    <row r="233" spans="1:6" x14ac:dyDescent="0.25">
      <c r="A233" s="34" t="s">
        <v>61</v>
      </c>
      <c r="B233" s="60">
        <f t="shared" ref="B233:C235" si="25">B184</f>
        <v>42238</v>
      </c>
      <c r="C233" s="47">
        <f t="shared" si="25"/>
        <v>22626444</v>
      </c>
      <c r="D233" s="34">
        <f t="shared" si="23"/>
        <v>2</v>
      </c>
      <c r="E233" s="63">
        <f t="shared" si="24"/>
        <v>0.90987912441549534</v>
      </c>
      <c r="F233" s="76">
        <f t="shared" si="24"/>
        <v>3600</v>
      </c>
    </row>
    <row r="234" spans="1:6" x14ac:dyDescent="0.25">
      <c r="A234" s="34" t="s">
        <v>62</v>
      </c>
      <c r="B234" s="60">
        <f t="shared" si="25"/>
        <v>42977</v>
      </c>
      <c r="C234" s="47">
        <f t="shared" si="25"/>
        <v>10262515</v>
      </c>
      <c r="D234" s="34">
        <f t="shared" si="23"/>
        <v>1</v>
      </c>
      <c r="E234" s="63">
        <f t="shared" si="24"/>
        <v>0.99914577847028541</v>
      </c>
      <c r="F234" s="76">
        <f t="shared" si="24"/>
        <v>2880</v>
      </c>
    </row>
    <row r="235" spans="1:6" x14ac:dyDescent="0.25">
      <c r="A235" s="34" t="s">
        <v>92</v>
      </c>
      <c r="B235" s="60">
        <f t="shared" si="25"/>
        <v>30893</v>
      </c>
      <c r="C235" s="47">
        <f t="shared" si="25"/>
        <v>8172000</v>
      </c>
      <c r="D235" s="34">
        <f t="shared" si="23"/>
        <v>10</v>
      </c>
      <c r="E235" s="63">
        <f t="shared" si="24"/>
        <v>0</v>
      </c>
      <c r="F235" s="76">
        <f t="shared" si="24"/>
        <v>3510</v>
      </c>
    </row>
    <row r="236" spans="1:6" x14ac:dyDescent="0.25">
      <c r="B236" s="60"/>
      <c r="C236" s="47"/>
      <c r="E236" s="63"/>
    </row>
    <row r="237" spans="1:6" x14ac:dyDescent="0.25">
      <c r="A237" s="53" t="s">
        <v>222</v>
      </c>
      <c r="B237" s="60"/>
      <c r="C237" s="47"/>
      <c r="E237" s="63"/>
    </row>
    <row r="238" spans="1:6" x14ac:dyDescent="0.25">
      <c r="B238" s="60"/>
      <c r="C238" s="47"/>
      <c r="E238" s="63"/>
    </row>
    <row r="239" spans="1:6" x14ac:dyDescent="0.25">
      <c r="A239" s="34" t="s">
        <v>176</v>
      </c>
      <c r="B239" s="34" t="s">
        <v>183</v>
      </c>
      <c r="C239" s="34" t="s">
        <v>177</v>
      </c>
      <c r="D239" s="34" t="s">
        <v>184</v>
      </c>
      <c r="E239" s="34" t="s">
        <v>193</v>
      </c>
      <c r="F239" s="34" t="s">
        <v>260</v>
      </c>
    </row>
    <row r="240" spans="1:6" x14ac:dyDescent="0.25">
      <c r="A240" s="34" t="s">
        <v>106</v>
      </c>
      <c r="B240" s="61">
        <f>B187</f>
        <v>41425</v>
      </c>
      <c r="C240" s="62">
        <f t="shared" ref="C240:F240" si="26">C187</f>
        <v>1219826</v>
      </c>
      <c r="D240" s="34">
        <f>_xlfn.RANK.EQ(B240,$B$240:$B$265,0)</f>
        <v>25</v>
      </c>
      <c r="E240" s="34">
        <f t="shared" si="26"/>
        <v>0</v>
      </c>
      <c r="F240" s="62">
        <f t="shared" si="26"/>
        <v>0</v>
      </c>
    </row>
    <row r="241" spans="1:6" x14ac:dyDescent="0.25">
      <c r="A241" s="34" t="s">
        <v>110</v>
      </c>
      <c r="B241" s="61">
        <f t="shared" ref="B241:F256" si="27">B188</f>
        <v>41730</v>
      </c>
      <c r="C241" s="62">
        <f t="shared" si="27"/>
        <v>318056</v>
      </c>
      <c r="D241" s="34">
        <f t="shared" ref="D241:D265" si="28">_xlfn.RANK.EQ(B241,$B$240:$B$265,0)</f>
        <v>15</v>
      </c>
      <c r="E241" s="34">
        <f t="shared" si="27"/>
        <v>0</v>
      </c>
      <c r="F241" s="62">
        <f t="shared" si="27"/>
        <v>0</v>
      </c>
    </row>
    <row r="242" spans="1:6" x14ac:dyDescent="0.25">
      <c r="A242" s="34" t="s">
        <v>111</v>
      </c>
      <c r="B242" s="61">
        <f t="shared" si="27"/>
        <v>44317</v>
      </c>
      <c r="C242" s="62">
        <f t="shared" si="27"/>
        <v>509303</v>
      </c>
      <c r="D242" s="34">
        <f t="shared" si="28"/>
        <v>1</v>
      </c>
      <c r="E242" s="34">
        <f t="shared" si="27"/>
        <v>0</v>
      </c>
      <c r="F242" s="62">
        <f t="shared" si="27"/>
        <v>0</v>
      </c>
    </row>
    <row r="243" spans="1:6" x14ac:dyDescent="0.25">
      <c r="A243" s="34" t="s">
        <v>113</v>
      </c>
      <c r="B243" s="61">
        <f t="shared" si="27"/>
        <v>44181</v>
      </c>
      <c r="C243" s="62">
        <f t="shared" si="27"/>
        <v>22500</v>
      </c>
      <c r="D243" s="34">
        <f t="shared" si="28"/>
        <v>2</v>
      </c>
      <c r="E243" s="34">
        <f t="shared" si="27"/>
        <v>0</v>
      </c>
      <c r="F243" s="62">
        <f t="shared" si="27"/>
        <v>0</v>
      </c>
    </row>
    <row r="244" spans="1:6" x14ac:dyDescent="0.25">
      <c r="A244" s="34" t="s">
        <v>116</v>
      </c>
      <c r="B244" s="61">
        <f t="shared" si="27"/>
        <v>43497</v>
      </c>
      <c r="C244" s="62">
        <f t="shared" si="27"/>
        <v>381930</v>
      </c>
      <c r="D244" s="34">
        <f t="shared" si="28"/>
        <v>3</v>
      </c>
      <c r="E244" s="34">
        <f t="shared" si="27"/>
        <v>0</v>
      </c>
      <c r="F244" s="62">
        <f t="shared" si="27"/>
        <v>0</v>
      </c>
    </row>
    <row r="245" spans="1:6" x14ac:dyDescent="0.25">
      <c r="A245" s="34" t="s">
        <v>119</v>
      </c>
      <c r="B245" s="61">
        <f t="shared" si="27"/>
        <v>43039</v>
      </c>
      <c r="C245" s="62">
        <f t="shared" si="27"/>
        <v>290500</v>
      </c>
      <c r="D245" s="34">
        <f t="shared" si="28"/>
        <v>4</v>
      </c>
      <c r="E245" s="34">
        <f t="shared" si="27"/>
        <v>0</v>
      </c>
      <c r="F245" s="62">
        <f t="shared" si="27"/>
        <v>0</v>
      </c>
    </row>
    <row r="246" spans="1:6" x14ac:dyDescent="0.25">
      <c r="A246" s="34" t="s">
        <v>122</v>
      </c>
      <c r="B246" s="61">
        <f t="shared" si="27"/>
        <v>43039</v>
      </c>
      <c r="C246" s="62">
        <f t="shared" si="27"/>
        <v>439600</v>
      </c>
      <c r="D246" s="34">
        <f t="shared" si="28"/>
        <v>4</v>
      </c>
      <c r="E246" s="34">
        <f t="shared" si="27"/>
        <v>0</v>
      </c>
      <c r="F246" s="62">
        <f t="shared" si="27"/>
        <v>0</v>
      </c>
    </row>
    <row r="247" spans="1:6" x14ac:dyDescent="0.25">
      <c r="A247" s="34" t="s">
        <v>124</v>
      </c>
      <c r="B247" s="61">
        <f t="shared" si="27"/>
        <v>42536</v>
      </c>
      <c r="C247" s="62">
        <f t="shared" si="27"/>
        <v>450559</v>
      </c>
      <c r="D247" s="34">
        <f t="shared" si="28"/>
        <v>6</v>
      </c>
      <c r="E247" s="34">
        <f t="shared" si="27"/>
        <v>0</v>
      </c>
      <c r="F247" s="62">
        <f t="shared" si="27"/>
        <v>0</v>
      </c>
    </row>
    <row r="248" spans="1:6" x14ac:dyDescent="0.25">
      <c r="A248" s="34" t="s">
        <v>126</v>
      </c>
      <c r="B248" s="61">
        <f t="shared" si="27"/>
        <v>42370</v>
      </c>
      <c r="C248" s="62">
        <f t="shared" si="27"/>
        <v>94870.8</v>
      </c>
      <c r="D248" s="34">
        <f t="shared" si="28"/>
        <v>7</v>
      </c>
      <c r="E248" s="34">
        <f t="shared" si="27"/>
        <v>0</v>
      </c>
      <c r="F248" s="62">
        <f t="shared" si="27"/>
        <v>0</v>
      </c>
    </row>
    <row r="249" spans="1:6" x14ac:dyDescent="0.25">
      <c r="A249" s="34" t="s">
        <v>129</v>
      </c>
      <c r="B249" s="61">
        <f t="shared" si="27"/>
        <v>42095</v>
      </c>
      <c r="C249" s="62">
        <f t="shared" si="27"/>
        <v>293400</v>
      </c>
      <c r="D249" s="34">
        <f t="shared" si="28"/>
        <v>8</v>
      </c>
      <c r="E249" s="34">
        <f t="shared" si="27"/>
        <v>0</v>
      </c>
      <c r="F249" s="62">
        <f t="shared" si="27"/>
        <v>0</v>
      </c>
    </row>
    <row r="250" spans="1:6" x14ac:dyDescent="0.25">
      <c r="A250" s="34" t="s">
        <v>131</v>
      </c>
      <c r="B250" s="61">
        <f t="shared" si="27"/>
        <v>42064</v>
      </c>
      <c r="C250" s="62">
        <f t="shared" si="27"/>
        <v>140180</v>
      </c>
      <c r="D250" s="34">
        <f t="shared" si="28"/>
        <v>9</v>
      </c>
      <c r="E250" s="34">
        <f t="shared" si="27"/>
        <v>0</v>
      </c>
      <c r="F250" s="62">
        <f t="shared" si="27"/>
        <v>0</v>
      </c>
    </row>
    <row r="251" spans="1:6" x14ac:dyDescent="0.25">
      <c r="A251" s="34" t="s">
        <v>134</v>
      </c>
      <c r="B251" s="61">
        <f t="shared" si="27"/>
        <v>42013</v>
      </c>
      <c r="C251" s="62">
        <f t="shared" si="27"/>
        <v>20500</v>
      </c>
      <c r="D251" s="34">
        <f t="shared" si="28"/>
        <v>10</v>
      </c>
      <c r="E251" s="34">
        <f t="shared" si="27"/>
        <v>0</v>
      </c>
      <c r="F251" s="62">
        <f t="shared" si="27"/>
        <v>0</v>
      </c>
    </row>
    <row r="252" spans="1:6" x14ac:dyDescent="0.25">
      <c r="A252" s="34" t="s">
        <v>136</v>
      </c>
      <c r="B252" s="61">
        <f t="shared" si="27"/>
        <v>42005</v>
      </c>
      <c r="C252" s="62">
        <f t="shared" si="27"/>
        <v>66395</v>
      </c>
      <c r="D252" s="34">
        <f t="shared" si="28"/>
        <v>11</v>
      </c>
      <c r="E252" s="34">
        <f t="shared" si="27"/>
        <v>0</v>
      </c>
      <c r="F252" s="62">
        <f t="shared" si="27"/>
        <v>0</v>
      </c>
    </row>
    <row r="253" spans="1:6" x14ac:dyDescent="0.25">
      <c r="A253" s="34" t="s">
        <v>138</v>
      </c>
      <c r="B253" s="61">
        <f t="shared" si="27"/>
        <v>41962</v>
      </c>
      <c r="C253" s="62">
        <f t="shared" si="27"/>
        <v>372500</v>
      </c>
      <c r="D253" s="34">
        <f t="shared" si="28"/>
        <v>12</v>
      </c>
      <c r="E253" s="34">
        <f t="shared" si="27"/>
        <v>0</v>
      </c>
      <c r="F253" s="62">
        <f t="shared" si="27"/>
        <v>0</v>
      </c>
    </row>
    <row r="254" spans="1:6" x14ac:dyDescent="0.25">
      <c r="A254" s="34" t="s">
        <v>141</v>
      </c>
      <c r="B254" s="61">
        <f t="shared" si="27"/>
        <v>41944</v>
      </c>
      <c r="C254" s="62">
        <f t="shared" si="27"/>
        <v>260074</v>
      </c>
      <c r="D254" s="34">
        <f t="shared" si="28"/>
        <v>13</v>
      </c>
      <c r="E254" s="34">
        <f t="shared" si="27"/>
        <v>0</v>
      </c>
      <c r="F254" s="62">
        <f t="shared" si="27"/>
        <v>0</v>
      </c>
    </row>
    <row r="255" spans="1:6" x14ac:dyDescent="0.25">
      <c r="A255" s="34" t="s">
        <v>143</v>
      </c>
      <c r="B255" s="61">
        <f t="shared" si="27"/>
        <v>41735</v>
      </c>
      <c r="C255" s="62">
        <f t="shared" si="27"/>
        <v>290500</v>
      </c>
      <c r="D255" s="34">
        <f t="shared" si="28"/>
        <v>14</v>
      </c>
      <c r="E255" s="34">
        <f t="shared" si="27"/>
        <v>0</v>
      </c>
      <c r="F255" s="62">
        <f t="shared" si="27"/>
        <v>0</v>
      </c>
    </row>
    <row r="256" spans="1:6" x14ac:dyDescent="0.25">
      <c r="A256" s="34" t="s">
        <v>145</v>
      </c>
      <c r="B256" s="61">
        <f t="shared" si="27"/>
        <v>41640</v>
      </c>
      <c r="C256" s="62">
        <f t="shared" si="27"/>
        <v>94527</v>
      </c>
      <c r="D256" s="34">
        <f t="shared" si="28"/>
        <v>16</v>
      </c>
      <c r="E256" s="34">
        <f t="shared" si="27"/>
        <v>0</v>
      </c>
      <c r="F256" s="62">
        <f t="shared" si="27"/>
        <v>0</v>
      </c>
    </row>
    <row r="257" spans="1:9" x14ac:dyDescent="0.25">
      <c r="A257" s="34" t="s">
        <v>147</v>
      </c>
      <c r="B257" s="61">
        <f t="shared" ref="B257:F265" si="29">B204</f>
        <v>41640</v>
      </c>
      <c r="C257" s="62">
        <f t="shared" si="29"/>
        <v>878438</v>
      </c>
      <c r="D257" s="34">
        <f t="shared" si="28"/>
        <v>16</v>
      </c>
      <c r="E257" s="34">
        <f t="shared" si="29"/>
        <v>0</v>
      </c>
      <c r="F257" s="62">
        <f t="shared" si="29"/>
        <v>0</v>
      </c>
    </row>
    <row r="258" spans="1:9" x14ac:dyDescent="0.25">
      <c r="A258" s="34" t="s">
        <v>149</v>
      </c>
      <c r="B258" s="61">
        <f t="shared" si="29"/>
        <v>41640</v>
      </c>
      <c r="C258" s="62">
        <f t="shared" si="29"/>
        <v>74267</v>
      </c>
      <c r="D258" s="34">
        <f t="shared" si="28"/>
        <v>16</v>
      </c>
      <c r="E258" s="34">
        <f t="shared" si="29"/>
        <v>0</v>
      </c>
      <c r="F258" s="62">
        <f t="shared" si="29"/>
        <v>0</v>
      </c>
    </row>
    <row r="259" spans="1:9" x14ac:dyDescent="0.25">
      <c r="A259" s="34" t="s">
        <v>151</v>
      </c>
      <c r="B259" s="61">
        <f t="shared" si="29"/>
        <v>41640</v>
      </c>
      <c r="C259" s="62">
        <f t="shared" si="29"/>
        <v>93093</v>
      </c>
      <c r="D259" s="34">
        <f t="shared" si="28"/>
        <v>16</v>
      </c>
      <c r="E259" s="34">
        <f t="shared" si="29"/>
        <v>0</v>
      </c>
      <c r="F259" s="62">
        <f t="shared" si="29"/>
        <v>0</v>
      </c>
    </row>
    <row r="260" spans="1:9" x14ac:dyDescent="0.25">
      <c r="A260" s="34" t="s">
        <v>153</v>
      </c>
      <c r="B260" s="61">
        <f t="shared" si="29"/>
        <v>41579</v>
      </c>
      <c r="C260" s="62">
        <f t="shared" si="29"/>
        <v>39483</v>
      </c>
      <c r="D260" s="34">
        <f t="shared" si="28"/>
        <v>20</v>
      </c>
      <c r="E260" s="34">
        <f t="shared" si="29"/>
        <v>0</v>
      </c>
      <c r="F260" s="62">
        <f t="shared" si="29"/>
        <v>0</v>
      </c>
    </row>
    <row r="261" spans="1:9" x14ac:dyDescent="0.25">
      <c r="A261" s="34" t="s">
        <v>155</v>
      </c>
      <c r="B261" s="61">
        <f t="shared" si="29"/>
        <v>41548</v>
      </c>
      <c r="C261" s="62">
        <f t="shared" si="29"/>
        <v>224000</v>
      </c>
      <c r="D261" s="34">
        <f t="shared" si="28"/>
        <v>21</v>
      </c>
      <c r="E261" s="34">
        <f t="shared" si="29"/>
        <v>0</v>
      </c>
      <c r="F261" s="62">
        <f t="shared" si="29"/>
        <v>0</v>
      </c>
    </row>
    <row r="262" spans="1:9" x14ac:dyDescent="0.25">
      <c r="A262" s="34" t="s">
        <v>156</v>
      </c>
      <c r="B262" s="61">
        <f t="shared" si="29"/>
        <v>41548</v>
      </c>
      <c r="C262" s="62">
        <f t="shared" si="29"/>
        <v>188500</v>
      </c>
      <c r="D262" s="34">
        <f t="shared" si="28"/>
        <v>21</v>
      </c>
      <c r="E262" s="34">
        <f t="shared" si="29"/>
        <v>0</v>
      </c>
      <c r="F262" s="62">
        <f t="shared" si="29"/>
        <v>0</v>
      </c>
    </row>
    <row r="263" spans="1:9" x14ac:dyDescent="0.25">
      <c r="A263" s="34" t="s">
        <v>158</v>
      </c>
      <c r="B263" s="61">
        <f t="shared" si="29"/>
        <v>41467</v>
      </c>
      <c r="C263" s="62">
        <f t="shared" si="29"/>
        <v>54785</v>
      </c>
      <c r="D263" s="34">
        <f t="shared" si="28"/>
        <v>23</v>
      </c>
      <c r="E263" s="34">
        <f t="shared" si="29"/>
        <v>0</v>
      </c>
      <c r="F263" s="62">
        <f t="shared" si="29"/>
        <v>0</v>
      </c>
    </row>
    <row r="264" spans="1:9" x14ac:dyDescent="0.25">
      <c r="A264" s="34" t="s">
        <v>159</v>
      </c>
      <c r="B264" s="61">
        <f t="shared" si="29"/>
        <v>41456</v>
      </c>
      <c r="C264" s="62">
        <f t="shared" si="29"/>
        <v>18000</v>
      </c>
      <c r="D264" s="34">
        <f t="shared" si="28"/>
        <v>24</v>
      </c>
      <c r="E264" s="34">
        <f t="shared" si="29"/>
        <v>0</v>
      </c>
      <c r="F264" s="62">
        <f t="shared" si="29"/>
        <v>0</v>
      </c>
    </row>
    <row r="265" spans="1:9" x14ac:dyDescent="0.25">
      <c r="A265" s="34" t="s">
        <v>163</v>
      </c>
      <c r="B265" s="61">
        <f t="shared" si="29"/>
        <v>40330</v>
      </c>
      <c r="C265" s="62">
        <f t="shared" si="29"/>
        <v>5500</v>
      </c>
      <c r="D265" s="34">
        <f t="shared" si="28"/>
        <v>26</v>
      </c>
      <c r="E265" s="34">
        <f t="shared" si="29"/>
        <v>0</v>
      </c>
      <c r="F265" s="62">
        <f t="shared" si="29"/>
        <v>0</v>
      </c>
    </row>
    <row r="268" spans="1:9" x14ac:dyDescent="0.25">
      <c r="A268" s="53" t="s">
        <v>261</v>
      </c>
    </row>
    <row r="270" spans="1:9" x14ac:dyDescent="0.25">
      <c r="A270" s="34" t="s">
        <v>176</v>
      </c>
      <c r="B270" s="34" t="s">
        <v>183</v>
      </c>
      <c r="C270" s="34" t="s">
        <v>177</v>
      </c>
      <c r="D270" s="34" t="s">
        <v>184</v>
      </c>
      <c r="E270" s="34" t="s">
        <v>193</v>
      </c>
      <c r="F270" s="34" t="s">
        <v>260</v>
      </c>
      <c r="G270" s="34" t="s">
        <v>265</v>
      </c>
      <c r="H270" s="34" t="s">
        <v>268</v>
      </c>
    </row>
    <row r="271" spans="1:9" x14ac:dyDescent="0.25">
      <c r="A271" s="34" t="s">
        <v>43</v>
      </c>
      <c r="B271" s="60">
        <f>B167</f>
        <v>25700</v>
      </c>
      <c r="C271" s="75">
        <f t="shared" ref="C271:F288" si="30">C167</f>
        <v>2305812</v>
      </c>
      <c r="D271" s="34">
        <f>_xlfn.RANK.EQ(B271,$B$271:$B$321,0)</f>
        <v>48</v>
      </c>
      <c r="E271" s="75">
        <f t="shared" si="30"/>
        <v>1.1607322371787465</v>
      </c>
      <c r="F271" s="75">
        <f t="shared" si="30"/>
        <v>1098</v>
      </c>
      <c r="G271" s="34">
        <f>YEAR(B271)</f>
        <v>1970</v>
      </c>
      <c r="H271" s="34">
        <f>IF(OR(G271=MarginalEmissionFactor2024!$D$53,G271=MarginalEmissionFactor2024!$E$53,G271=MarginalEmissionFactor2024!$F$53),1,0)</f>
        <v>0</v>
      </c>
      <c r="I271" s="34">
        <f>IF(AND(G271&lt;=MarginalEmissionFactor2024!$L$53,G271&gt;=MarginalEmissionFactor2024!$H$53),1,0)</f>
        <v>0</v>
      </c>
    </row>
    <row r="272" spans="1:9" x14ac:dyDescent="0.25">
      <c r="A272" s="34" t="s">
        <v>45</v>
      </c>
      <c r="B272" s="60">
        <f t="shared" ref="B272" si="31">B168</f>
        <v>26197</v>
      </c>
      <c r="C272" s="75">
        <f t="shared" si="30"/>
        <v>8353868</v>
      </c>
      <c r="D272" s="34">
        <f t="shared" ref="D272:D321" si="32">_xlfn.RANK.EQ(B272,$B$271:$B$321,0)</f>
        <v>47</v>
      </c>
      <c r="E272" s="75">
        <f t="shared" si="30"/>
        <v>1.0902820916394322</v>
      </c>
      <c r="F272" s="75">
        <f t="shared" si="30"/>
        <v>2100</v>
      </c>
      <c r="G272" s="34">
        <f t="shared" ref="G272:G321" si="33">YEAR(B272)</f>
        <v>1971</v>
      </c>
      <c r="H272" s="34">
        <f>IF(OR(G272=MarginalEmissionFactor2024!$D$53,G272=MarginalEmissionFactor2024!$E$53,G272=MarginalEmissionFactor2024!$F$53),1,0)</f>
        <v>0</v>
      </c>
      <c r="I272" s="34">
        <f>IF(AND(G272&lt;=MarginalEmissionFactor2024!$L$53,G272&gt;=MarginalEmissionFactor2024!$H$53),1,0)</f>
        <v>0</v>
      </c>
    </row>
    <row r="273" spans="1:9" x14ac:dyDescent="0.25">
      <c r="A273" s="34" t="s">
        <v>46</v>
      </c>
      <c r="B273" s="60">
        <f t="shared" ref="B273" si="34">B169</f>
        <v>27886</v>
      </c>
      <c r="C273" s="75">
        <f t="shared" si="30"/>
        <v>7823567</v>
      </c>
      <c r="D273" s="34">
        <f t="shared" si="32"/>
        <v>46</v>
      </c>
      <c r="E273" s="75">
        <f t="shared" si="30"/>
        <v>1.2525911083393213</v>
      </c>
      <c r="F273" s="75">
        <f t="shared" si="30"/>
        <v>2640</v>
      </c>
      <c r="G273" s="34">
        <f t="shared" si="33"/>
        <v>1976</v>
      </c>
      <c r="H273" s="34">
        <f>IF(OR(G273=MarginalEmissionFactor2024!$D$53,G273=MarginalEmissionFactor2024!$E$53,G273=MarginalEmissionFactor2024!$F$53),1,0)</f>
        <v>0</v>
      </c>
      <c r="I273" s="34">
        <f>IF(AND(G273&lt;=MarginalEmissionFactor2024!$L$53,G273&gt;=MarginalEmissionFactor2024!$H$53),1,0)</f>
        <v>0</v>
      </c>
    </row>
    <row r="274" spans="1:9" x14ac:dyDescent="0.25">
      <c r="A274" s="34" t="s">
        <v>47</v>
      </c>
      <c r="B274" s="60">
        <f t="shared" ref="B274" si="35">B170</f>
        <v>27893</v>
      </c>
      <c r="C274" s="75">
        <f t="shared" si="30"/>
        <v>2406</v>
      </c>
      <c r="D274" s="34">
        <f t="shared" si="32"/>
        <v>45</v>
      </c>
      <c r="E274" s="75">
        <f t="shared" si="30"/>
        <v>1.0235496289900248</v>
      </c>
      <c r="F274" s="75">
        <f t="shared" si="30"/>
        <v>171</v>
      </c>
      <c r="G274" s="34">
        <f t="shared" si="33"/>
        <v>1976</v>
      </c>
      <c r="H274" s="34">
        <f>IF(OR(G274=MarginalEmissionFactor2024!$D$53,G274=MarginalEmissionFactor2024!$E$53,G274=MarginalEmissionFactor2024!$F$53),1,0)</f>
        <v>0</v>
      </c>
      <c r="I274" s="34">
        <f>IF(AND(G274&lt;=MarginalEmissionFactor2024!$L$53,G274&gt;=MarginalEmissionFactor2024!$H$53),1,0)</f>
        <v>0</v>
      </c>
    </row>
    <row r="275" spans="1:9" x14ac:dyDescent="0.25">
      <c r="A275" s="34" t="s">
        <v>48</v>
      </c>
      <c r="B275" s="60">
        <f t="shared" ref="B275" si="36">B171</f>
        <v>28033</v>
      </c>
      <c r="C275" s="75">
        <f t="shared" si="30"/>
        <v>4340</v>
      </c>
      <c r="D275" s="34">
        <f t="shared" si="32"/>
        <v>44</v>
      </c>
      <c r="E275" s="75">
        <f t="shared" si="30"/>
        <v>0.88386237552995384</v>
      </c>
      <c r="F275" s="75">
        <f t="shared" si="30"/>
        <v>171</v>
      </c>
      <c r="G275" s="34">
        <f t="shared" si="33"/>
        <v>1976</v>
      </c>
      <c r="H275" s="34">
        <f>IF(OR(G275=MarginalEmissionFactor2024!$D$53,G275=MarginalEmissionFactor2024!$E$53,G275=MarginalEmissionFactor2024!$F$53),1,0)</f>
        <v>0</v>
      </c>
      <c r="I275" s="34">
        <f>IF(AND(G275&lt;=MarginalEmissionFactor2024!$L$53,G275&gt;=MarginalEmissionFactor2024!$H$53),1,0)</f>
        <v>0</v>
      </c>
    </row>
    <row r="276" spans="1:9" x14ac:dyDescent="0.25">
      <c r="A276" s="34" t="s">
        <v>49</v>
      </c>
      <c r="B276" s="60">
        <f t="shared" ref="B276" si="37">B172</f>
        <v>29127</v>
      </c>
      <c r="C276" s="75">
        <f t="shared" si="30"/>
        <v>12464364</v>
      </c>
      <c r="D276" s="34">
        <f t="shared" si="32"/>
        <v>43</v>
      </c>
      <c r="E276" s="75">
        <f t="shared" si="30"/>
        <v>1.5148480497290224</v>
      </c>
      <c r="F276" s="75">
        <f t="shared" si="30"/>
        <v>3450</v>
      </c>
      <c r="G276" s="34">
        <f t="shared" si="33"/>
        <v>1979</v>
      </c>
      <c r="H276" s="34">
        <f>IF(OR(G276=MarginalEmissionFactor2024!$D$53,G276=MarginalEmissionFactor2024!$E$53,G276=MarginalEmissionFactor2024!$F$53),1,0)</f>
        <v>0</v>
      </c>
      <c r="I276" s="34">
        <f>IF(AND(G276&lt;=MarginalEmissionFactor2024!$L$53,G276&gt;=MarginalEmissionFactor2024!$H$53),1,0)</f>
        <v>0</v>
      </c>
    </row>
    <row r="277" spans="1:9" x14ac:dyDescent="0.25">
      <c r="A277" s="34" t="s">
        <v>50</v>
      </c>
      <c r="B277" s="60">
        <f t="shared" ref="B277" si="38">B173</f>
        <v>29451</v>
      </c>
      <c r="C277" s="75">
        <f t="shared" si="30"/>
        <v>11787013</v>
      </c>
      <c r="D277" s="34">
        <f t="shared" si="32"/>
        <v>42</v>
      </c>
      <c r="E277" s="75">
        <f t="shared" si="30"/>
        <v>1.09068463633424</v>
      </c>
      <c r="F277" s="75">
        <f t="shared" si="30"/>
        <v>2875</v>
      </c>
      <c r="G277" s="34">
        <f t="shared" si="33"/>
        <v>1980</v>
      </c>
      <c r="H277" s="34">
        <f>IF(OR(G277=MarginalEmissionFactor2024!$D$53,G277=MarginalEmissionFactor2024!$E$53,G277=MarginalEmissionFactor2024!$F$53),1,0)</f>
        <v>0</v>
      </c>
      <c r="I277" s="34">
        <f>IF(AND(G277&lt;=MarginalEmissionFactor2024!$L$53,G277&gt;=MarginalEmissionFactor2024!$H$53),1,0)</f>
        <v>0</v>
      </c>
    </row>
    <row r="278" spans="1:9" x14ac:dyDescent="0.25">
      <c r="A278" s="34" t="s">
        <v>51</v>
      </c>
      <c r="B278" s="60">
        <f t="shared" ref="B278" si="39">B174</f>
        <v>31199</v>
      </c>
      <c r="C278" s="75">
        <f t="shared" si="30"/>
        <v>6394619</v>
      </c>
      <c r="D278" s="34">
        <f t="shared" si="32"/>
        <v>40</v>
      </c>
      <c r="E278" s="75">
        <f t="shared" si="30"/>
        <v>1.1572020466374306</v>
      </c>
      <c r="F278" s="75">
        <f t="shared" si="30"/>
        <v>3510</v>
      </c>
      <c r="G278" s="34">
        <f t="shared" si="33"/>
        <v>1985</v>
      </c>
      <c r="H278" s="34">
        <f>IF(OR(G278=MarginalEmissionFactor2024!$D$53,G278=MarginalEmissionFactor2024!$E$53,G278=MarginalEmissionFactor2024!$F$53),1,0)</f>
        <v>0</v>
      </c>
      <c r="I278" s="34">
        <f>IF(AND(G278&lt;=MarginalEmissionFactor2024!$L$53,G278&gt;=MarginalEmissionFactor2024!$H$53),1,0)</f>
        <v>0</v>
      </c>
    </row>
    <row r="279" spans="1:9" x14ac:dyDescent="0.25">
      <c r="A279" s="34" t="s">
        <v>52</v>
      </c>
      <c r="B279" s="60">
        <f t="shared" ref="B279" si="40">B175</f>
        <v>31403</v>
      </c>
      <c r="C279" s="75">
        <f t="shared" si="30"/>
        <v>21280064</v>
      </c>
      <c r="D279" s="34">
        <f t="shared" si="32"/>
        <v>39</v>
      </c>
      <c r="E279" s="75">
        <f t="shared" si="30"/>
        <v>1.4004855533319758</v>
      </c>
      <c r="F279" s="75">
        <f t="shared" si="30"/>
        <v>3558</v>
      </c>
      <c r="G279" s="34">
        <f t="shared" si="33"/>
        <v>1985</v>
      </c>
      <c r="H279" s="34">
        <f>IF(OR(G279=MarginalEmissionFactor2024!$D$53,G279=MarginalEmissionFactor2024!$E$53,G279=MarginalEmissionFactor2024!$F$53),1,0)</f>
        <v>0</v>
      </c>
      <c r="I279" s="34">
        <f>IF(AND(G279&lt;=MarginalEmissionFactor2024!$L$53,G279&gt;=MarginalEmissionFactor2024!$H$53),1,0)</f>
        <v>0</v>
      </c>
    </row>
    <row r="280" spans="1:9" x14ac:dyDescent="0.25">
      <c r="A280" s="34" t="s">
        <v>53</v>
      </c>
      <c r="B280" s="60">
        <f t="shared" ref="B280" si="41">B176</f>
        <v>32115</v>
      </c>
      <c r="C280" s="75">
        <f t="shared" si="30"/>
        <v>18926973</v>
      </c>
      <c r="D280" s="34">
        <f t="shared" si="32"/>
        <v>38</v>
      </c>
      <c r="E280" s="75">
        <f t="shared" si="30"/>
        <v>1.0490821380472892</v>
      </c>
      <c r="F280" s="75">
        <f t="shared" si="30"/>
        <v>3690</v>
      </c>
      <c r="G280" s="34">
        <f t="shared" si="33"/>
        <v>1987</v>
      </c>
      <c r="H280" s="34">
        <f>IF(OR(G280=MarginalEmissionFactor2024!$D$53,G280=MarginalEmissionFactor2024!$E$53,G280=MarginalEmissionFactor2024!$F$53),1,0)</f>
        <v>0</v>
      </c>
      <c r="I280" s="34">
        <f>IF(AND(G280&lt;=MarginalEmissionFactor2024!$L$53,G280&gt;=MarginalEmissionFactor2024!$H$53),1,0)</f>
        <v>0</v>
      </c>
    </row>
    <row r="281" spans="1:9" x14ac:dyDescent="0.25">
      <c r="A281" s="34" t="s">
        <v>54</v>
      </c>
      <c r="B281" s="60">
        <f t="shared" ref="B281" si="42">B177</f>
        <v>32417</v>
      </c>
      <c r="C281" s="75">
        <f t="shared" si="30"/>
        <v>12464364</v>
      </c>
      <c r="D281" s="34">
        <f t="shared" si="32"/>
        <v>37</v>
      </c>
      <c r="E281" s="75">
        <f t="shared" si="30"/>
        <v>1.1775673393854256</v>
      </c>
      <c r="F281" s="75">
        <f t="shared" si="30"/>
        <v>3840</v>
      </c>
      <c r="G281" s="34">
        <f t="shared" si="33"/>
        <v>1988</v>
      </c>
      <c r="H281" s="34">
        <f>IF(OR(G281=MarginalEmissionFactor2024!$D$53,G281=MarginalEmissionFactor2024!$E$53,G281=MarginalEmissionFactor2024!$F$53),1,0)</f>
        <v>0</v>
      </c>
      <c r="I281" s="34">
        <f>IF(AND(G281&lt;=MarginalEmissionFactor2024!$L$53,G281&gt;=MarginalEmissionFactor2024!$H$53),1,0)</f>
        <v>0</v>
      </c>
    </row>
    <row r="282" spans="1:9" x14ac:dyDescent="0.25">
      <c r="A282" s="34" t="s">
        <v>55</v>
      </c>
      <c r="B282" s="60">
        <f t="shared" ref="B282" si="43">B178</f>
        <v>35156</v>
      </c>
      <c r="C282" s="75">
        <f t="shared" si="30"/>
        <v>18711767</v>
      </c>
      <c r="D282" s="34">
        <f t="shared" si="32"/>
        <v>36</v>
      </c>
      <c r="E282" s="75">
        <f t="shared" si="30"/>
        <v>1.1237581740287528</v>
      </c>
      <c r="F282" s="75">
        <f t="shared" si="30"/>
        <v>3807</v>
      </c>
      <c r="G282" s="34">
        <f t="shared" si="33"/>
        <v>1996</v>
      </c>
      <c r="H282" s="34">
        <f>IF(OR(G282=MarginalEmissionFactor2024!$D$53,G282=MarginalEmissionFactor2024!$E$53,G282=MarginalEmissionFactor2024!$F$53),1,0)</f>
        <v>0</v>
      </c>
      <c r="I282" s="34">
        <f>IF(AND(G282&lt;=MarginalEmissionFactor2024!$L$53,G282&gt;=MarginalEmissionFactor2024!$H$53),1,0)</f>
        <v>0</v>
      </c>
    </row>
    <row r="283" spans="1:9" x14ac:dyDescent="0.25">
      <c r="A283" s="34" t="s">
        <v>56</v>
      </c>
      <c r="B283" s="60">
        <f t="shared" ref="B283" si="44">B179</f>
        <v>24685</v>
      </c>
      <c r="C283" s="75">
        <f t="shared" si="30"/>
        <v>7329029</v>
      </c>
      <c r="D283" s="34">
        <f t="shared" si="32"/>
        <v>50</v>
      </c>
      <c r="E283" s="75">
        <f t="shared" si="30"/>
        <v>1.1396971427851901</v>
      </c>
      <c r="F283" s="75">
        <f t="shared" si="30"/>
        <v>1481</v>
      </c>
      <c r="G283" s="34">
        <f t="shared" si="33"/>
        <v>1967</v>
      </c>
      <c r="H283" s="34">
        <f>IF(OR(G283=MarginalEmissionFactor2024!$D$53,G283=MarginalEmissionFactor2024!$E$53,G283=MarginalEmissionFactor2024!$F$53),1,0)</f>
        <v>0</v>
      </c>
      <c r="I283" s="34">
        <f>IF(AND(G283&lt;=MarginalEmissionFactor2024!$L$53,G283&gt;=MarginalEmissionFactor2024!$H$53),1,0)</f>
        <v>0</v>
      </c>
    </row>
    <row r="284" spans="1:9" x14ac:dyDescent="0.25">
      <c r="A284" s="34" t="s">
        <v>57</v>
      </c>
      <c r="B284" s="60">
        <f t="shared" ref="B284" si="45">B180</f>
        <v>39142</v>
      </c>
      <c r="C284" s="75">
        <f t="shared" si="30"/>
        <v>1588583</v>
      </c>
      <c r="D284" s="34">
        <f t="shared" si="32"/>
        <v>35</v>
      </c>
      <c r="E284" s="75">
        <f t="shared" si="30"/>
        <v>0.84091603144742832</v>
      </c>
      <c r="F284" s="75">
        <f t="shared" si="30"/>
        <v>1327</v>
      </c>
      <c r="G284" s="34">
        <f t="shared" si="33"/>
        <v>2007</v>
      </c>
      <c r="H284" s="34">
        <f>IF(OR(G284=MarginalEmissionFactor2024!$D$53,G284=MarginalEmissionFactor2024!$E$53,G284=MarginalEmissionFactor2024!$F$53),1,0)</f>
        <v>0</v>
      </c>
      <c r="I284" s="34">
        <f>IF(AND(G284&lt;=MarginalEmissionFactor2024!$L$53,G284&gt;=MarginalEmissionFactor2024!$H$53),1,0)</f>
        <v>0</v>
      </c>
    </row>
    <row r="285" spans="1:9" x14ac:dyDescent="0.25">
      <c r="A285" s="34" t="s">
        <v>58</v>
      </c>
      <c r="B285" s="60">
        <f t="shared" ref="B285" si="46">B181</f>
        <v>39264</v>
      </c>
      <c r="C285" s="75">
        <f t="shared" si="30"/>
        <v>2038316</v>
      </c>
      <c r="D285" s="34">
        <f t="shared" si="32"/>
        <v>34</v>
      </c>
      <c r="E285" s="75">
        <f t="shared" si="30"/>
        <v>0.80387607569088892</v>
      </c>
      <c r="F285" s="75">
        <f t="shared" si="30"/>
        <v>740</v>
      </c>
      <c r="G285" s="34">
        <f t="shared" si="33"/>
        <v>2007</v>
      </c>
      <c r="H285" s="34">
        <f>IF(OR(G285=MarginalEmissionFactor2024!$D$53,G285=MarginalEmissionFactor2024!$E$53,G285=MarginalEmissionFactor2024!$F$53),1,0)</f>
        <v>0</v>
      </c>
      <c r="I285" s="34">
        <f>IF(AND(G285&lt;=MarginalEmissionFactor2024!$L$53,G285&gt;=MarginalEmissionFactor2024!$H$53),1,0)</f>
        <v>0</v>
      </c>
    </row>
    <row r="286" spans="1:9" x14ac:dyDescent="0.25">
      <c r="A286" s="34" t="s">
        <v>59</v>
      </c>
      <c r="B286" s="60">
        <f t="shared" ref="B286" si="47">B182</f>
        <v>25355</v>
      </c>
      <c r="C286" s="75">
        <f t="shared" si="30"/>
        <v>1638696</v>
      </c>
      <c r="D286" s="34">
        <f t="shared" si="32"/>
        <v>49</v>
      </c>
      <c r="E286" s="75">
        <f t="shared" si="30"/>
        <v>1.2296827702406667</v>
      </c>
      <c r="F286" s="75">
        <f t="shared" si="30"/>
        <v>570</v>
      </c>
      <c r="G286" s="34">
        <f t="shared" si="33"/>
        <v>1969</v>
      </c>
      <c r="H286" s="34">
        <f>IF(OR(G286=MarginalEmissionFactor2024!$D$53,G286=MarginalEmissionFactor2024!$E$53,G286=MarginalEmissionFactor2024!$F$53),1,0)</f>
        <v>0</v>
      </c>
      <c r="I286" s="34">
        <f>IF(AND(G286&lt;=MarginalEmissionFactor2024!$L$53,G286&gt;=MarginalEmissionFactor2024!$H$53),1,0)</f>
        <v>0</v>
      </c>
    </row>
    <row r="287" spans="1:9" x14ac:dyDescent="0.25">
      <c r="A287" s="34" t="s">
        <v>60</v>
      </c>
      <c r="B287" s="60">
        <f t="shared" ref="B287" si="48">B183</f>
        <v>22591</v>
      </c>
      <c r="C287" s="75">
        <f t="shared" si="30"/>
        <v>0</v>
      </c>
      <c r="D287" s="34">
        <f t="shared" si="32"/>
        <v>51</v>
      </c>
      <c r="E287" s="75" t="str">
        <f t="shared" si="30"/>
        <v/>
      </c>
      <c r="F287" s="75">
        <f t="shared" si="30"/>
        <v>990</v>
      </c>
      <c r="G287" s="34">
        <f t="shared" si="33"/>
        <v>1961</v>
      </c>
      <c r="H287" s="34">
        <f>IF(OR(G287=MarginalEmissionFactor2024!$D$53,G287=MarginalEmissionFactor2024!$E$53,G287=MarginalEmissionFactor2024!$F$53),1,0)</f>
        <v>0</v>
      </c>
      <c r="I287" s="34">
        <f>IF(AND(G287&lt;=MarginalEmissionFactor2024!$L$53,G287&gt;=MarginalEmissionFactor2024!$H$53),1,0)</f>
        <v>0</v>
      </c>
    </row>
    <row r="288" spans="1:9" x14ac:dyDescent="0.25">
      <c r="A288" s="34" t="s">
        <v>61</v>
      </c>
      <c r="B288" s="60">
        <f t="shared" ref="B288" si="49">B184</f>
        <v>42238</v>
      </c>
      <c r="C288" s="75">
        <f t="shared" si="30"/>
        <v>22626444</v>
      </c>
      <c r="D288" s="34">
        <f t="shared" si="32"/>
        <v>14</v>
      </c>
      <c r="E288" s="75">
        <f t="shared" si="30"/>
        <v>0.90987912441549534</v>
      </c>
      <c r="F288" s="75">
        <f t="shared" si="30"/>
        <v>3600</v>
      </c>
      <c r="G288" s="34">
        <f t="shared" si="33"/>
        <v>2015</v>
      </c>
      <c r="H288" s="34">
        <f>IF(OR(G288=MarginalEmissionFactor2024!$D$53,G288=MarginalEmissionFactor2024!$E$53,G288=MarginalEmissionFactor2024!$F$53),1,0)</f>
        <v>0</v>
      </c>
      <c r="I288" s="34">
        <f>IF(AND(G288&lt;=MarginalEmissionFactor2024!$L$53,G288&gt;=MarginalEmissionFactor2024!$H$53),1,0)</f>
        <v>0</v>
      </c>
    </row>
    <row r="289" spans="1:9" x14ac:dyDescent="0.25">
      <c r="A289" s="34" t="s">
        <v>287</v>
      </c>
      <c r="B289" s="60">
        <f t="shared" ref="B289" si="50">B185</f>
        <v>42977</v>
      </c>
      <c r="C289" s="75">
        <f>C185/6</f>
        <v>1710419.1666666667</v>
      </c>
      <c r="D289" s="34">
        <f t="shared" si="32"/>
        <v>11</v>
      </c>
      <c r="E289" s="75">
        <f>'Emission Factors'!$B$21*3.6/'Emission Factors'!$B$27/1000</f>
        <v>0.76879999999999993</v>
      </c>
      <c r="F289" s="75">
        <v>600</v>
      </c>
      <c r="G289" s="34">
        <f t="shared" si="33"/>
        <v>2017</v>
      </c>
      <c r="H289" s="34">
        <f>IF(OR(G289=MarginalEmissionFactor2024!$D$53,G289=MarginalEmissionFactor2024!$E$53,G289=MarginalEmissionFactor2024!$F$53),1,0)</f>
        <v>0</v>
      </c>
      <c r="I289" s="34">
        <f>IF(AND(G289&lt;=MarginalEmissionFactor2024!$L$53,G289&gt;=MarginalEmissionFactor2024!$H$53),1,0)</f>
        <v>0</v>
      </c>
    </row>
    <row r="290" spans="1:9" x14ac:dyDescent="0.25">
      <c r="A290" s="34" t="s">
        <v>288</v>
      </c>
      <c r="B290" s="60">
        <v>44134</v>
      </c>
      <c r="C290" s="75">
        <f>C289</f>
        <v>1710419.1666666667</v>
      </c>
      <c r="D290" s="34">
        <f t="shared" si="32"/>
        <v>6</v>
      </c>
      <c r="E290" s="75">
        <f>'Emission Factors'!$B$21*3.6/'Emission Factors'!$B$27/1000</f>
        <v>0.76879999999999993</v>
      </c>
      <c r="F290" s="75">
        <v>600</v>
      </c>
      <c r="G290" s="34">
        <f t="shared" ref="G290:G294" si="51">YEAR(B290)</f>
        <v>2020</v>
      </c>
      <c r="H290" s="34">
        <f>IF(OR(G290=MarginalEmissionFactor2024!$D$53,G290=MarginalEmissionFactor2024!$E$53,G290=MarginalEmissionFactor2024!$F$53),1,0)</f>
        <v>0</v>
      </c>
      <c r="I290" s="34">
        <f>IF(AND(G290&lt;=MarginalEmissionFactor2024!$L$53,G290&gt;=MarginalEmissionFactor2024!$H$53),1,0)</f>
        <v>1</v>
      </c>
    </row>
    <row r="291" spans="1:9" x14ac:dyDescent="0.25">
      <c r="A291" s="34" t="s">
        <v>289</v>
      </c>
      <c r="B291" s="60">
        <v>44286</v>
      </c>
      <c r="C291" s="75">
        <f t="shared" ref="C291:C294" si="52">C290</f>
        <v>1710419.1666666667</v>
      </c>
      <c r="D291" s="34">
        <f t="shared" si="32"/>
        <v>4</v>
      </c>
      <c r="E291" s="75">
        <f>'Emission Factors'!$B$21*3.6/'Emission Factors'!$B$27/1000</f>
        <v>0.76879999999999993</v>
      </c>
      <c r="F291" s="75">
        <v>600</v>
      </c>
      <c r="G291" s="34">
        <f t="shared" si="51"/>
        <v>2021</v>
      </c>
      <c r="H291" s="34">
        <f>IF(OR(G291=MarginalEmissionFactor2024!$D$53,G291=MarginalEmissionFactor2024!$E$53,G291=MarginalEmissionFactor2024!$F$53),1,0)</f>
        <v>0</v>
      </c>
      <c r="I291" s="34">
        <f>IF(AND(G291&lt;=MarginalEmissionFactor2024!$L$53,G291&gt;=MarginalEmissionFactor2024!$H$53),1,0)</f>
        <v>1</v>
      </c>
    </row>
    <row r="292" spans="1:9" x14ac:dyDescent="0.25">
      <c r="A292" s="34" t="s">
        <v>290</v>
      </c>
      <c r="B292" s="60">
        <v>44712</v>
      </c>
      <c r="C292" s="75">
        <f t="shared" si="52"/>
        <v>1710419.1666666667</v>
      </c>
      <c r="D292" s="34">
        <f t="shared" si="32"/>
        <v>2</v>
      </c>
      <c r="E292" s="75">
        <f>'Emission Factors'!$B$21*3.6/'Emission Factors'!$B$27/1000</f>
        <v>0.76879999999999993</v>
      </c>
      <c r="F292" s="75">
        <v>600</v>
      </c>
      <c r="G292" s="34">
        <f t="shared" si="51"/>
        <v>2022</v>
      </c>
      <c r="H292" s="34">
        <f>IF(OR(G292=MarginalEmissionFactor2024!$D$53,G292=MarginalEmissionFactor2024!$E$53,G292=MarginalEmissionFactor2024!$F$53),1,0)</f>
        <v>1</v>
      </c>
      <c r="I292" s="34">
        <f>IF(AND(G292&lt;=MarginalEmissionFactor2024!$L$53,G292&gt;=MarginalEmissionFactor2024!$H$53),1,0)</f>
        <v>1</v>
      </c>
    </row>
    <row r="293" spans="1:9" x14ac:dyDescent="0.25">
      <c r="A293" s="34" t="s">
        <v>291</v>
      </c>
      <c r="B293" s="60">
        <v>45291</v>
      </c>
      <c r="C293" s="75">
        <f t="shared" si="52"/>
        <v>1710419.1666666667</v>
      </c>
      <c r="D293" s="34">
        <f t="shared" si="32"/>
        <v>1</v>
      </c>
      <c r="E293" s="75">
        <f>'Emission Factors'!$B$21*3.6/'Emission Factors'!$B$27/1000</f>
        <v>0.76879999999999993</v>
      </c>
      <c r="F293" s="75">
        <v>600</v>
      </c>
      <c r="G293" s="34">
        <f t="shared" si="51"/>
        <v>2023</v>
      </c>
      <c r="H293" s="34">
        <f>IF(OR(G293=MarginalEmissionFactor2024!$D$53,G293=MarginalEmissionFactor2024!$E$53,G293=MarginalEmissionFactor2024!$F$53),1,0)</f>
        <v>1</v>
      </c>
      <c r="I293" s="34">
        <f>IF(AND(G293&lt;=MarginalEmissionFactor2024!$L$53,G293&gt;=MarginalEmissionFactor2024!$H$53),1,0)</f>
        <v>1</v>
      </c>
    </row>
    <row r="294" spans="1:9" x14ac:dyDescent="0.25">
      <c r="A294" s="34" t="s">
        <v>292</v>
      </c>
      <c r="B294" s="60">
        <v>44103</v>
      </c>
      <c r="C294" s="75">
        <f t="shared" si="52"/>
        <v>1710419.1666666667</v>
      </c>
      <c r="D294" s="34">
        <f t="shared" si="32"/>
        <v>7</v>
      </c>
      <c r="E294" s="75">
        <f>'Emission Factors'!$B$21*3.6/'Emission Factors'!$B$27/1000</f>
        <v>0.76879999999999993</v>
      </c>
      <c r="F294" s="75">
        <v>600</v>
      </c>
      <c r="G294" s="34">
        <f t="shared" si="51"/>
        <v>2020</v>
      </c>
      <c r="H294" s="34">
        <f>IF(OR(G294=MarginalEmissionFactor2024!$D$53,G294=MarginalEmissionFactor2024!$E$53,G294=MarginalEmissionFactor2024!$F$53),1,0)</f>
        <v>0</v>
      </c>
      <c r="I294" s="34">
        <f>IF(AND(G294&lt;=MarginalEmissionFactor2024!$L$53,G294&gt;=MarginalEmissionFactor2024!$H$53),1,0)</f>
        <v>1</v>
      </c>
    </row>
    <row r="295" spans="1:9" x14ac:dyDescent="0.25">
      <c r="A295" s="34" t="s">
        <v>92</v>
      </c>
      <c r="B295" s="60">
        <f t="shared" ref="B295" si="53">B186</f>
        <v>30893</v>
      </c>
      <c r="C295" s="75">
        <f t="shared" ref="C295:C321" si="54">C186</f>
        <v>8172000</v>
      </c>
      <c r="D295" s="34">
        <f t="shared" si="32"/>
        <v>41</v>
      </c>
      <c r="E295" s="75">
        <f t="shared" ref="E295:F321" si="55">E186</f>
        <v>0</v>
      </c>
      <c r="F295" s="75">
        <f t="shared" si="55"/>
        <v>3510</v>
      </c>
      <c r="G295" s="34">
        <f t="shared" si="33"/>
        <v>1984</v>
      </c>
      <c r="H295" s="34">
        <f>IF(OR(G295=MarginalEmissionFactor2024!$D$53,G295=MarginalEmissionFactor2024!$E$53,G295=MarginalEmissionFactor2024!$F$53),1,0)</f>
        <v>0</v>
      </c>
      <c r="I295" s="34">
        <f>IF(AND(G295&lt;=MarginalEmissionFactor2024!$L$53,G295&gt;=MarginalEmissionFactor2024!$H$53),1,0)</f>
        <v>0</v>
      </c>
    </row>
    <row r="296" spans="1:9" x14ac:dyDescent="0.25">
      <c r="A296" s="34" t="s">
        <v>106</v>
      </c>
      <c r="B296" s="60">
        <f t="shared" ref="B296" si="56">B187</f>
        <v>41425</v>
      </c>
      <c r="C296" s="75">
        <f t="shared" si="54"/>
        <v>1219826</v>
      </c>
      <c r="D296" s="34">
        <f t="shared" si="32"/>
        <v>32</v>
      </c>
      <c r="E296" s="75">
        <f t="shared" si="55"/>
        <v>0</v>
      </c>
      <c r="F296" s="75">
        <f t="shared" si="55"/>
        <v>0</v>
      </c>
      <c r="G296" s="34">
        <f t="shared" si="33"/>
        <v>2013</v>
      </c>
      <c r="H296" s="34">
        <f>IF(OR(G296=MarginalEmissionFactor2024!$D$53,G296=MarginalEmissionFactor2024!$E$53,G296=MarginalEmissionFactor2024!$F$53),1,0)</f>
        <v>0</v>
      </c>
      <c r="I296" s="34">
        <f>IF(AND(G296&lt;=MarginalEmissionFactor2024!$L$53,G296&gt;=MarginalEmissionFactor2024!$H$53),1,0)</f>
        <v>0</v>
      </c>
    </row>
    <row r="297" spans="1:9" x14ac:dyDescent="0.25">
      <c r="A297" s="34" t="s">
        <v>110</v>
      </c>
      <c r="B297" s="60">
        <f t="shared" ref="B297" si="57">B188</f>
        <v>41730</v>
      </c>
      <c r="C297" s="75">
        <f t="shared" si="54"/>
        <v>318056</v>
      </c>
      <c r="D297" s="34">
        <f t="shared" si="32"/>
        <v>22</v>
      </c>
      <c r="E297" s="75">
        <f t="shared" si="55"/>
        <v>0</v>
      </c>
      <c r="F297" s="75">
        <f t="shared" si="55"/>
        <v>0</v>
      </c>
      <c r="G297" s="34">
        <f t="shared" si="33"/>
        <v>2014</v>
      </c>
      <c r="H297" s="34">
        <f>IF(OR(G297=MarginalEmissionFactor2024!$D$53,G297=MarginalEmissionFactor2024!$E$53,G297=MarginalEmissionFactor2024!$F$53),1,0)</f>
        <v>0</v>
      </c>
      <c r="I297" s="34">
        <f>IF(AND(G297&lt;=MarginalEmissionFactor2024!$L$53,G297&gt;=MarginalEmissionFactor2024!$H$53),1,0)</f>
        <v>0</v>
      </c>
    </row>
    <row r="298" spans="1:9" x14ac:dyDescent="0.25">
      <c r="A298" s="34" t="s">
        <v>111</v>
      </c>
      <c r="B298" s="60">
        <f t="shared" ref="B298" si="58">B189</f>
        <v>44317</v>
      </c>
      <c r="C298" s="75">
        <f t="shared" si="54"/>
        <v>509303</v>
      </c>
      <c r="D298" s="34">
        <f t="shared" si="32"/>
        <v>3</v>
      </c>
      <c r="E298" s="75">
        <f t="shared" si="55"/>
        <v>0</v>
      </c>
      <c r="F298" s="75">
        <f t="shared" si="55"/>
        <v>0</v>
      </c>
      <c r="G298" s="34">
        <f t="shared" si="33"/>
        <v>2021</v>
      </c>
      <c r="H298" s="34">
        <f>IF(OR(G298=MarginalEmissionFactor2024!$D$53,G298=MarginalEmissionFactor2024!$E$53,G298=MarginalEmissionFactor2024!$F$53),1,0)</f>
        <v>0</v>
      </c>
      <c r="I298" s="34">
        <f>IF(AND(G298&lt;=MarginalEmissionFactor2024!$L$53,G298&gt;=MarginalEmissionFactor2024!$H$53),1,0)</f>
        <v>1</v>
      </c>
    </row>
    <row r="299" spans="1:9" x14ac:dyDescent="0.25">
      <c r="A299" s="34" t="s">
        <v>113</v>
      </c>
      <c r="B299" s="60">
        <f t="shared" ref="B299" si="59">B190</f>
        <v>44181</v>
      </c>
      <c r="C299" s="75">
        <f t="shared" si="54"/>
        <v>22500</v>
      </c>
      <c r="D299" s="34">
        <f t="shared" si="32"/>
        <v>5</v>
      </c>
      <c r="E299" s="75">
        <f t="shared" si="55"/>
        <v>0</v>
      </c>
      <c r="F299" s="75">
        <f t="shared" si="55"/>
        <v>0</v>
      </c>
      <c r="G299" s="34">
        <f t="shared" si="33"/>
        <v>2020</v>
      </c>
      <c r="H299" s="34">
        <f>IF(OR(G299=MarginalEmissionFactor2024!$D$53,G299=MarginalEmissionFactor2024!$E$53,G299=MarginalEmissionFactor2024!$F$53),1,0)</f>
        <v>0</v>
      </c>
      <c r="I299" s="34">
        <f>IF(AND(G299&lt;=MarginalEmissionFactor2024!$L$53,G299&gt;=MarginalEmissionFactor2024!$H$53),1,0)</f>
        <v>1</v>
      </c>
    </row>
    <row r="300" spans="1:9" x14ac:dyDescent="0.25">
      <c r="A300" s="34" t="s">
        <v>116</v>
      </c>
      <c r="B300" s="60">
        <f t="shared" ref="B300" si="60">B191</f>
        <v>43497</v>
      </c>
      <c r="C300" s="75">
        <f t="shared" si="54"/>
        <v>381930</v>
      </c>
      <c r="D300" s="34">
        <f t="shared" si="32"/>
        <v>8</v>
      </c>
      <c r="E300" s="75">
        <f t="shared" si="55"/>
        <v>0</v>
      </c>
      <c r="F300" s="75">
        <f t="shared" si="55"/>
        <v>0</v>
      </c>
      <c r="G300" s="34">
        <f t="shared" si="33"/>
        <v>2019</v>
      </c>
      <c r="H300" s="34">
        <f>IF(OR(G300=MarginalEmissionFactor2024!$D$53,G300=MarginalEmissionFactor2024!$E$53,G300=MarginalEmissionFactor2024!$F$53),1,0)</f>
        <v>0</v>
      </c>
      <c r="I300" s="34">
        <f>IF(AND(G300&lt;=MarginalEmissionFactor2024!$L$53,G300&gt;=MarginalEmissionFactor2024!$H$53),1,0)</f>
        <v>0</v>
      </c>
    </row>
    <row r="301" spans="1:9" x14ac:dyDescent="0.25">
      <c r="A301" s="34" t="s">
        <v>119</v>
      </c>
      <c r="B301" s="60">
        <f t="shared" ref="B301" si="61">B192</f>
        <v>43039</v>
      </c>
      <c r="C301" s="75">
        <f t="shared" si="54"/>
        <v>290500</v>
      </c>
      <c r="D301" s="34">
        <f t="shared" si="32"/>
        <v>9</v>
      </c>
      <c r="E301" s="75">
        <f t="shared" si="55"/>
        <v>0</v>
      </c>
      <c r="F301" s="75">
        <f t="shared" si="55"/>
        <v>0</v>
      </c>
      <c r="G301" s="34">
        <f t="shared" si="33"/>
        <v>2017</v>
      </c>
      <c r="H301" s="34">
        <f>IF(OR(G301=MarginalEmissionFactor2024!$D$53,G301=MarginalEmissionFactor2024!$E$53,G301=MarginalEmissionFactor2024!$F$53),1,0)</f>
        <v>0</v>
      </c>
      <c r="I301" s="34">
        <f>IF(AND(G301&lt;=MarginalEmissionFactor2024!$L$53,G301&gt;=MarginalEmissionFactor2024!$H$53),1,0)</f>
        <v>0</v>
      </c>
    </row>
    <row r="302" spans="1:9" x14ac:dyDescent="0.25">
      <c r="A302" s="34" t="s">
        <v>122</v>
      </c>
      <c r="B302" s="60">
        <f t="shared" ref="B302" si="62">B193</f>
        <v>43039</v>
      </c>
      <c r="C302" s="75">
        <f t="shared" si="54"/>
        <v>439600</v>
      </c>
      <c r="D302" s="34">
        <f t="shared" si="32"/>
        <v>9</v>
      </c>
      <c r="E302" s="75">
        <f t="shared" si="55"/>
        <v>0</v>
      </c>
      <c r="F302" s="75">
        <f t="shared" si="55"/>
        <v>0</v>
      </c>
      <c r="G302" s="34">
        <f t="shared" si="33"/>
        <v>2017</v>
      </c>
      <c r="H302" s="34">
        <f>IF(OR(G302=MarginalEmissionFactor2024!$D$53,G302=MarginalEmissionFactor2024!$E$53,G302=MarginalEmissionFactor2024!$F$53),1,0)</f>
        <v>0</v>
      </c>
      <c r="I302" s="34">
        <f>IF(AND(G302&lt;=MarginalEmissionFactor2024!$L$53,G302&gt;=MarginalEmissionFactor2024!$H$53),1,0)</f>
        <v>0</v>
      </c>
    </row>
    <row r="303" spans="1:9" x14ac:dyDescent="0.25">
      <c r="A303" s="34" t="s">
        <v>124</v>
      </c>
      <c r="B303" s="60">
        <f t="shared" ref="B303" si="63">B194</f>
        <v>42536</v>
      </c>
      <c r="C303" s="75">
        <f t="shared" si="54"/>
        <v>450559</v>
      </c>
      <c r="D303" s="34">
        <f t="shared" si="32"/>
        <v>12</v>
      </c>
      <c r="E303" s="75">
        <f t="shared" si="55"/>
        <v>0</v>
      </c>
      <c r="F303" s="75">
        <f t="shared" si="55"/>
        <v>0</v>
      </c>
      <c r="G303" s="34">
        <f t="shared" si="33"/>
        <v>2016</v>
      </c>
      <c r="H303" s="34">
        <f>IF(OR(G303=MarginalEmissionFactor2024!$D$53,G303=MarginalEmissionFactor2024!$E$53,G303=MarginalEmissionFactor2024!$F$53),1,0)</f>
        <v>0</v>
      </c>
      <c r="I303" s="34">
        <f>IF(AND(G303&lt;=MarginalEmissionFactor2024!$L$53,G303&gt;=MarginalEmissionFactor2024!$H$53),1,0)</f>
        <v>0</v>
      </c>
    </row>
    <row r="304" spans="1:9" x14ac:dyDescent="0.25">
      <c r="A304" s="34" t="s">
        <v>126</v>
      </c>
      <c r="B304" s="60">
        <f t="shared" ref="B304" si="64">B195</f>
        <v>42370</v>
      </c>
      <c r="C304" s="75">
        <f t="shared" si="54"/>
        <v>94870.8</v>
      </c>
      <c r="D304" s="34">
        <f t="shared" si="32"/>
        <v>13</v>
      </c>
      <c r="E304" s="75">
        <f t="shared" si="55"/>
        <v>0</v>
      </c>
      <c r="F304" s="75">
        <f t="shared" si="55"/>
        <v>0</v>
      </c>
      <c r="G304" s="34">
        <f t="shared" si="33"/>
        <v>2016</v>
      </c>
      <c r="H304" s="34">
        <f>IF(OR(G304=MarginalEmissionFactor2024!$D$53,G304=MarginalEmissionFactor2024!$E$53,G304=MarginalEmissionFactor2024!$F$53),1,0)</f>
        <v>0</v>
      </c>
      <c r="I304" s="34">
        <f>IF(AND(G304&lt;=MarginalEmissionFactor2024!$L$53,G304&gt;=MarginalEmissionFactor2024!$H$53),1,0)</f>
        <v>0</v>
      </c>
    </row>
    <row r="305" spans="1:9" x14ac:dyDescent="0.25">
      <c r="A305" s="34" t="s">
        <v>129</v>
      </c>
      <c r="B305" s="60">
        <f t="shared" ref="B305" si="65">B196</f>
        <v>42095</v>
      </c>
      <c r="C305" s="75">
        <f t="shared" si="54"/>
        <v>293400</v>
      </c>
      <c r="D305" s="34">
        <f t="shared" si="32"/>
        <v>15</v>
      </c>
      <c r="E305" s="75">
        <f t="shared" si="55"/>
        <v>0</v>
      </c>
      <c r="F305" s="75">
        <f t="shared" si="55"/>
        <v>0</v>
      </c>
      <c r="G305" s="34">
        <f t="shared" si="33"/>
        <v>2015</v>
      </c>
      <c r="H305" s="34">
        <f>IF(OR(G305=MarginalEmissionFactor2024!$D$53,G305=MarginalEmissionFactor2024!$E$53,G305=MarginalEmissionFactor2024!$F$53),1,0)</f>
        <v>0</v>
      </c>
      <c r="I305" s="34">
        <f>IF(AND(G305&lt;=MarginalEmissionFactor2024!$L$53,G305&gt;=MarginalEmissionFactor2024!$H$53),1,0)</f>
        <v>0</v>
      </c>
    </row>
    <row r="306" spans="1:9" x14ac:dyDescent="0.25">
      <c r="A306" s="34" t="s">
        <v>131</v>
      </c>
      <c r="B306" s="60">
        <f t="shared" ref="B306" si="66">B197</f>
        <v>42064</v>
      </c>
      <c r="C306" s="75">
        <f t="shared" si="54"/>
        <v>140180</v>
      </c>
      <c r="D306" s="34">
        <f t="shared" si="32"/>
        <v>16</v>
      </c>
      <c r="E306" s="75">
        <f t="shared" si="55"/>
        <v>0</v>
      </c>
      <c r="F306" s="75">
        <f t="shared" si="55"/>
        <v>0</v>
      </c>
      <c r="G306" s="34">
        <f t="shared" si="33"/>
        <v>2015</v>
      </c>
      <c r="H306" s="34">
        <f>IF(OR(G306=MarginalEmissionFactor2024!$D$53,G306=MarginalEmissionFactor2024!$E$53,G306=MarginalEmissionFactor2024!$F$53),1,0)</f>
        <v>0</v>
      </c>
      <c r="I306" s="34">
        <f>IF(AND(G306&lt;=MarginalEmissionFactor2024!$L$53,G306&gt;=MarginalEmissionFactor2024!$H$53),1,0)</f>
        <v>0</v>
      </c>
    </row>
    <row r="307" spans="1:9" x14ac:dyDescent="0.25">
      <c r="A307" s="34" t="s">
        <v>134</v>
      </c>
      <c r="B307" s="60">
        <f t="shared" ref="B307" si="67">B198</f>
        <v>42013</v>
      </c>
      <c r="C307" s="75">
        <f t="shared" si="54"/>
        <v>20500</v>
      </c>
      <c r="D307" s="34">
        <f t="shared" si="32"/>
        <v>17</v>
      </c>
      <c r="E307" s="75">
        <f t="shared" si="55"/>
        <v>0</v>
      </c>
      <c r="F307" s="75">
        <f t="shared" si="55"/>
        <v>0</v>
      </c>
      <c r="G307" s="34">
        <f t="shared" si="33"/>
        <v>2015</v>
      </c>
      <c r="H307" s="34">
        <f>IF(OR(G307=MarginalEmissionFactor2024!$D$53,G307=MarginalEmissionFactor2024!$E$53,G307=MarginalEmissionFactor2024!$F$53),1,0)</f>
        <v>0</v>
      </c>
      <c r="I307" s="34">
        <f>IF(AND(G307&lt;=MarginalEmissionFactor2024!$L$53,G307&gt;=MarginalEmissionFactor2024!$H$53),1,0)</f>
        <v>0</v>
      </c>
    </row>
    <row r="308" spans="1:9" x14ac:dyDescent="0.25">
      <c r="A308" s="34" t="s">
        <v>136</v>
      </c>
      <c r="B308" s="60">
        <f t="shared" ref="B308" si="68">B199</f>
        <v>42005</v>
      </c>
      <c r="C308" s="75">
        <f t="shared" si="54"/>
        <v>66395</v>
      </c>
      <c r="D308" s="34">
        <f t="shared" si="32"/>
        <v>18</v>
      </c>
      <c r="E308" s="75">
        <f t="shared" si="55"/>
        <v>0</v>
      </c>
      <c r="F308" s="75">
        <f t="shared" si="55"/>
        <v>0</v>
      </c>
      <c r="G308" s="34">
        <f t="shared" si="33"/>
        <v>2015</v>
      </c>
      <c r="H308" s="34">
        <f>IF(OR(G308=MarginalEmissionFactor2024!$D$53,G308=MarginalEmissionFactor2024!$E$53,G308=MarginalEmissionFactor2024!$F$53),1,0)</f>
        <v>0</v>
      </c>
      <c r="I308" s="34">
        <f>IF(AND(G308&lt;=MarginalEmissionFactor2024!$L$53,G308&gt;=MarginalEmissionFactor2024!$H$53),1,0)</f>
        <v>0</v>
      </c>
    </row>
    <row r="309" spans="1:9" x14ac:dyDescent="0.25">
      <c r="A309" s="34" t="s">
        <v>138</v>
      </c>
      <c r="B309" s="60">
        <f t="shared" ref="B309" si="69">B200</f>
        <v>41962</v>
      </c>
      <c r="C309" s="75">
        <f t="shared" si="54"/>
        <v>372500</v>
      </c>
      <c r="D309" s="34">
        <f t="shared" si="32"/>
        <v>19</v>
      </c>
      <c r="E309" s="75">
        <f t="shared" si="55"/>
        <v>0</v>
      </c>
      <c r="F309" s="75">
        <f t="shared" si="55"/>
        <v>0</v>
      </c>
      <c r="G309" s="34">
        <f t="shared" si="33"/>
        <v>2014</v>
      </c>
      <c r="H309" s="34">
        <f>IF(OR(G309=MarginalEmissionFactor2024!$D$53,G309=MarginalEmissionFactor2024!$E$53,G309=MarginalEmissionFactor2024!$F$53),1,0)</f>
        <v>0</v>
      </c>
      <c r="I309" s="34">
        <f>IF(AND(G309&lt;=MarginalEmissionFactor2024!$L$53,G309&gt;=MarginalEmissionFactor2024!$H$53),1,0)</f>
        <v>0</v>
      </c>
    </row>
    <row r="310" spans="1:9" x14ac:dyDescent="0.25">
      <c r="A310" s="34" t="s">
        <v>141</v>
      </c>
      <c r="B310" s="60">
        <f t="shared" ref="B310" si="70">B201</f>
        <v>41944</v>
      </c>
      <c r="C310" s="75">
        <f t="shared" si="54"/>
        <v>260074</v>
      </c>
      <c r="D310" s="34">
        <f t="shared" si="32"/>
        <v>20</v>
      </c>
      <c r="E310" s="75">
        <f t="shared" si="55"/>
        <v>0</v>
      </c>
      <c r="F310" s="75">
        <f t="shared" si="55"/>
        <v>0</v>
      </c>
      <c r="G310" s="34">
        <f t="shared" si="33"/>
        <v>2014</v>
      </c>
      <c r="H310" s="34">
        <f>IF(OR(G310=MarginalEmissionFactor2024!$D$53,G310=MarginalEmissionFactor2024!$E$53,G310=MarginalEmissionFactor2024!$F$53),1,0)</f>
        <v>0</v>
      </c>
      <c r="I310" s="34">
        <f>IF(AND(G310&lt;=MarginalEmissionFactor2024!$L$53,G310&gt;=MarginalEmissionFactor2024!$H$53),1,0)</f>
        <v>0</v>
      </c>
    </row>
    <row r="311" spans="1:9" x14ac:dyDescent="0.25">
      <c r="A311" s="34" t="s">
        <v>143</v>
      </c>
      <c r="B311" s="60">
        <f t="shared" ref="B311" si="71">B202</f>
        <v>41735</v>
      </c>
      <c r="C311" s="75">
        <f t="shared" si="54"/>
        <v>290500</v>
      </c>
      <c r="D311" s="34">
        <f t="shared" si="32"/>
        <v>21</v>
      </c>
      <c r="E311" s="75">
        <f t="shared" si="55"/>
        <v>0</v>
      </c>
      <c r="F311" s="75">
        <f t="shared" si="55"/>
        <v>0</v>
      </c>
      <c r="G311" s="34">
        <f t="shared" si="33"/>
        <v>2014</v>
      </c>
      <c r="H311" s="34">
        <f>IF(OR(G311=MarginalEmissionFactor2024!$D$53,G311=MarginalEmissionFactor2024!$E$53,G311=MarginalEmissionFactor2024!$F$53),1,0)</f>
        <v>0</v>
      </c>
      <c r="I311" s="34">
        <f>IF(AND(G311&lt;=MarginalEmissionFactor2024!$L$53,G311&gt;=MarginalEmissionFactor2024!$H$53),1,0)</f>
        <v>0</v>
      </c>
    </row>
    <row r="312" spans="1:9" x14ac:dyDescent="0.25">
      <c r="A312" s="34" t="s">
        <v>145</v>
      </c>
      <c r="B312" s="60">
        <f t="shared" ref="B312" si="72">B203</f>
        <v>41640</v>
      </c>
      <c r="C312" s="75">
        <f t="shared" si="54"/>
        <v>94527</v>
      </c>
      <c r="D312" s="34">
        <f t="shared" si="32"/>
        <v>23</v>
      </c>
      <c r="E312" s="75">
        <f t="shared" si="55"/>
        <v>0</v>
      </c>
      <c r="F312" s="75">
        <f t="shared" si="55"/>
        <v>0</v>
      </c>
      <c r="G312" s="34">
        <f t="shared" si="33"/>
        <v>2014</v>
      </c>
      <c r="H312" s="34">
        <f>IF(OR(G312=MarginalEmissionFactor2024!$D$53,G312=MarginalEmissionFactor2024!$E$53,G312=MarginalEmissionFactor2024!$F$53),1,0)</f>
        <v>0</v>
      </c>
      <c r="I312" s="34">
        <f>IF(AND(G312&lt;=MarginalEmissionFactor2024!$L$53,G312&gt;=MarginalEmissionFactor2024!$H$53),1,0)</f>
        <v>0</v>
      </c>
    </row>
    <row r="313" spans="1:9" x14ac:dyDescent="0.25">
      <c r="A313" s="34" t="s">
        <v>147</v>
      </c>
      <c r="B313" s="60">
        <f t="shared" ref="B313" si="73">B204</f>
        <v>41640</v>
      </c>
      <c r="C313" s="75">
        <f t="shared" si="54"/>
        <v>878438</v>
      </c>
      <c r="D313" s="34">
        <f t="shared" si="32"/>
        <v>23</v>
      </c>
      <c r="E313" s="75">
        <f t="shared" si="55"/>
        <v>0</v>
      </c>
      <c r="F313" s="75">
        <f t="shared" si="55"/>
        <v>0</v>
      </c>
      <c r="G313" s="34">
        <f t="shared" si="33"/>
        <v>2014</v>
      </c>
      <c r="H313" s="34">
        <f>IF(OR(G313=MarginalEmissionFactor2024!$D$53,G313=MarginalEmissionFactor2024!$E$53,G313=MarginalEmissionFactor2024!$F$53),1,0)</f>
        <v>0</v>
      </c>
      <c r="I313" s="34">
        <f>IF(AND(G313&lt;=MarginalEmissionFactor2024!$L$53,G313&gt;=MarginalEmissionFactor2024!$H$53),1,0)</f>
        <v>0</v>
      </c>
    </row>
    <row r="314" spans="1:9" x14ac:dyDescent="0.25">
      <c r="A314" s="34" t="s">
        <v>149</v>
      </c>
      <c r="B314" s="60">
        <f t="shared" ref="B314" si="74">B205</f>
        <v>41640</v>
      </c>
      <c r="C314" s="75">
        <f t="shared" si="54"/>
        <v>74267</v>
      </c>
      <c r="D314" s="34">
        <f t="shared" si="32"/>
        <v>23</v>
      </c>
      <c r="E314" s="75">
        <f t="shared" si="55"/>
        <v>0</v>
      </c>
      <c r="F314" s="75">
        <f t="shared" si="55"/>
        <v>0</v>
      </c>
      <c r="G314" s="34">
        <f t="shared" si="33"/>
        <v>2014</v>
      </c>
      <c r="H314" s="34">
        <f>IF(OR(G314=MarginalEmissionFactor2024!$D$53,G314=MarginalEmissionFactor2024!$E$53,G314=MarginalEmissionFactor2024!$F$53),1,0)</f>
        <v>0</v>
      </c>
      <c r="I314" s="34">
        <f>IF(AND(G314&lt;=MarginalEmissionFactor2024!$L$53,G314&gt;=MarginalEmissionFactor2024!$H$53),1,0)</f>
        <v>0</v>
      </c>
    </row>
    <row r="315" spans="1:9" x14ac:dyDescent="0.25">
      <c r="A315" s="34" t="s">
        <v>151</v>
      </c>
      <c r="B315" s="60">
        <f t="shared" ref="B315" si="75">B206</f>
        <v>41640</v>
      </c>
      <c r="C315" s="75">
        <f t="shared" si="54"/>
        <v>93093</v>
      </c>
      <c r="D315" s="34">
        <f t="shared" si="32"/>
        <v>23</v>
      </c>
      <c r="E315" s="75">
        <f t="shared" si="55"/>
        <v>0</v>
      </c>
      <c r="F315" s="75">
        <f t="shared" si="55"/>
        <v>0</v>
      </c>
      <c r="G315" s="34">
        <f t="shared" si="33"/>
        <v>2014</v>
      </c>
      <c r="H315" s="34">
        <f>IF(OR(G315=MarginalEmissionFactor2024!$D$53,G315=MarginalEmissionFactor2024!$E$53,G315=MarginalEmissionFactor2024!$F$53),1,0)</f>
        <v>0</v>
      </c>
      <c r="I315" s="34">
        <f>IF(AND(G315&lt;=MarginalEmissionFactor2024!$L$53,G315&gt;=MarginalEmissionFactor2024!$H$53),1,0)</f>
        <v>0</v>
      </c>
    </row>
    <row r="316" spans="1:9" x14ac:dyDescent="0.25">
      <c r="A316" s="34" t="s">
        <v>153</v>
      </c>
      <c r="B316" s="60">
        <f t="shared" ref="B316" si="76">B207</f>
        <v>41579</v>
      </c>
      <c r="C316" s="75">
        <f t="shared" si="54"/>
        <v>39483</v>
      </c>
      <c r="D316" s="34">
        <f t="shared" si="32"/>
        <v>27</v>
      </c>
      <c r="E316" s="75">
        <f t="shared" si="55"/>
        <v>0</v>
      </c>
      <c r="F316" s="75">
        <f t="shared" si="55"/>
        <v>0</v>
      </c>
      <c r="G316" s="34">
        <f t="shared" si="33"/>
        <v>2013</v>
      </c>
      <c r="H316" s="34">
        <f>IF(OR(G316=MarginalEmissionFactor2024!$D$53,G316=MarginalEmissionFactor2024!$E$53,G316=MarginalEmissionFactor2024!$F$53),1,0)</f>
        <v>0</v>
      </c>
      <c r="I316" s="34">
        <f>IF(AND(G316&lt;=MarginalEmissionFactor2024!$L$53,G316&gt;=MarginalEmissionFactor2024!$H$53),1,0)</f>
        <v>0</v>
      </c>
    </row>
    <row r="317" spans="1:9" x14ac:dyDescent="0.25">
      <c r="A317" s="34" t="s">
        <v>155</v>
      </c>
      <c r="B317" s="60">
        <f t="shared" ref="B317" si="77">B208</f>
        <v>41548</v>
      </c>
      <c r="C317" s="75">
        <f t="shared" si="54"/>
        <v>224000</v>
      </c>
      <c r="D317" s="34">
        <f t="shared" si="32"/>
        <v>28</v>
      </c>
      <c r="E317" s="75">
        <f t="shared" si="55"/>
        <v>0</v>
      </c>
      <c r="F317" s="75">
        <f t="shared" si="55"/>
        <v>0</v>
      </c>
      <c r="G317" s="34">
        <f t="shared" si="33"/>
        <v>2013</v>
      </c>
      <c r="H317" s="34">
        <f>IF(OR(G317=MarginalEmissionFactor2024!$D$53,G317=MarginalEmissionFactor2024!$E$53,G317=MarginalEmissionFactor2024!$F$53),1,0)</f>
        <v>0</v>
      </c>
      <c r="I317" s="34">
        <f>IF(AND(G317&lt;=MarginalEmissionFactor2024!$L$53,G317&gt;=MarginalEmissionFactor2024!$H$53),1,0)</f>
        <v>0</v>
      </c>
    </row>
    <row r="318" spans="1:9" x14ac:dyDescent="0.25">
      <c r="A318" s="34" t="s">
        <v>156</v>
      </c>
      <c r="B318" s="60">
        <f t="shared" ref="B318" si="78">B209</f>
        <v>41548</v>
      </c>
      <c r="C318" s="75">
        <f t="shared" si="54"/>
        <v>188500</v>
      </c>
      <c r="D318" s="34">
        <f t="shared" si="32"/>
        <v>28</v>
      </c>
      <c r="E318" s="75">
        <f t="shared" si="55"/>
        <v>0</v>
      </c>
      <c r="F318" s="75">
        <f t="shared" si="55"/>
        <v>0</v>
      </c>
      <c r="G318" s="34">
        <f t="shared" si="33"/>
        <v>2013</v>
      </c>
      <c r="H318" s="34">
        <f>IF(OR(G318=MarginalEmissionFactor2024!$D$53,G318=MarginalEmissionFactor2024!$E$53,G318=MarginalEmissionFactor2024!$F$53),1,0)</f>
        <v>0</v>
      </c>
      <c r="I318" s="34">
        <f>IF(AND(G318&lt;=MarginalEmissionFactor2024!$L$53,G318&gt;=MarginalEmissionFactor2024!$H$53),1,0)</f>
        <v>0</v>
      </c>
    </row>
    <row r="319" spans="1:9" x14ac:dyDescent="0.25">
      <c r="A319" s="34" t="s">
        <v>158</v>
      </c>
      <c r="B319" s="60">
        <f t="shared" ref="B319" si="79">B210</f>
        <v>41467</v>
      </c>
      <c r="C319" s="75">
        <f t="shared" si="54"/>
        <v>54785</v>
      </c>
      <c r="D319" s="34">
        <f t="shared" si="32"/>
        <v>30</v>
      </c>
      <c r="E319" s="75">
        <f t="shared" si="55"/>
        <v>0</v>
      </c>
      <c r="F319" s="75">
        <f t="shared" si="55"/>
        <v>0</v>
      </c>
      <c r="G319" s="34">
        <f t="shared" si="33"/>
        <v>2013</v>
      </c>
      <c r="H319" s="34">
        <f>IF(OR(G319=MarginalEmissionFactor2024!$D$53,G319=MarginalEmissionFactor2024!$E$53,G319=MarginalEmissionFactor2024!$F$53),1,0)</f>
        <v>0</v>
      </c>
      <c r="I319" s="34">
        <f>IF(AND(G319&lt;=MarginalEmissionFactor2024!$L$53,G319&gt;=MarginalEmissionFactor2024!$H$53),1,0)</f>
        <v>0</v>
      </c>
    </row>
    <row r="320" spans="1:9" x14ac:dyDescent="0.25">
      <c r="A320" s="34" t="s">
        <v>159</v>
      </c>
      <c r="B320" s="60">
        <f t="shared" ref="B320" si="80">B211</f>
        <v>41456</v>
      </c>
      <c r="C320" s="75">
        <f t="shared" si="54"/>
        <v>18000</v>
      </c>
      <c r="D320" s="34">
        <f t="shared" si="32"/>
        <v>31</v>
      </c>
      <c r="E320" s="75">
        <f t="shared" si="55"/>
        <v>0</v>
      </c>
      <c r="F320" s="75">
        <f t="shared" si="55"/>
        <v>0</v>
      </c>
      <c r="G320" s="34">
        <f t="shared" si="33"/>
        <v>2013</v>
      </c>
      <c r="H320" s="34">
        <f>IF(OR(G320=MarginalEmissionFactor2024!$D$53,G320=MarginalEmissionFactor2024!$E$53,G320=MarginalEmissionFactor2024!$F$53),1,0)</f>
        <v>0</v>
      </c>
      <c r="I320" s="34">
        <f>IF(AND(G320&lt;=MarginalEmissionFactor2024!$L$53,G320&gt;=MarginalEmissionFactor2024!$H$53),1,0)</f>
        <v>0</v>
      </c>
    </row>
    <row r="321" spans="1:9" x14ac:dyDescent="0.25">
      <c r="A321" s="34" t="s">
        <v>163</v>
      </c>
      <c r="B321" s="60">
        <f t="shared" ref="B321" si="81">B212</f>
        <v>40330</v>
      </c>
      <c r="C321" s="75">
        <f t="shared" si="54"/>
        <v>5500</v>
      </c>
      <c r="D321" s="34">
        <f t="shared" si="32"/>
        <v>33</v>
      </c>
      <c r="E321" s="75">
        <f t="shared" si="55"/>
        <v>0</v>
      </c>
      <c r="F321" s="75">
        <f t="shared" si="55"/>
        <v>0</v>
      </c>
      <c r="G321" s="34">
        <f t="shared" si="33"/>
        <v>2010</v>
      </c>
      <c r="H321" s="34">
        <f>IF(OR(G321=MarginalEmissionFactor2024!$D$53,G321=MarginalEmissionFactor2024!$E$53,G321=MarginalEmissionFactor2024!$F$53),1,0)</f>
        <v>0</v>
      </c>
      <c r="I321" s="34">
        <f>IF(AND(G321&lt;=MarginalEmissionFactor2024!$L$53,G321&gt;=MarginalEmissionFactor2024!$H$53),1,0)</f>
        <v>0</v>
      </c>
    </row>
  </sheetData>
  <phoneticPr fontId="5" type="noConversion"/>
  <hyperlinks>
    <hyperlink ref="G130" r:id="rId1" xr:uid="{A45254C9-7007-4B91-AE0B-6A76D7928D93}"/>
    <hyperlink ref="G131" r:id="rId2" xr:uid="{417024E6-EB0F-493E-A7F9-2F748288B38D}"/>
    <hyperlink ref="G132" r:id="rId3" xr:uid="{F73DA651-8EFD-470D-8A1C-B416F9C42AE7}"/>
    <hyperlink ref="G127" r:id="rId4" xr:uid="{7E33D169-D192-48F8-879E-CEC2DBFC4B05}"/>
    <hyperlink ref="H129" r:id="rId5" xr:uid="{A359B626-D5C4-42B2-991A-948ACA507727}"/>
    <hyperlink ref="G142" r:id="rId6" xr:uid="{450AF453-341A-444B-B5B2-D1AF5E29F723}"/>
    <hyperlink ref="G141" r:id="rId7" xr:uid="{68EF48A7-CB4E-4599-83D4-BE8AD0E8D252}"/>
    <hyperlink ref="G134" r:id="rId8" xr:uid="{E95E32FB-2DF1-4F0F-8F8F-DC6788FC32D7}"/>
    <hyperlink ref="H133" r:id="rId9" xr:uid="{916454EE-B679-446C-9A39-48970C02CBE5}"/>
    <hyperlink ref="G138" r:id="rId10" xr:uid="{342EAE2D-DCAD-4165-9293-10040F81560A}"/>
    <hyperlink ref="G140" r:id="rId11" xr:uid="{A16F3EFB-C6DC-4BE7-B1D8-B59FFBD0CCCD}"/>
    <hyperlink ref="G147" r:id="rId12" xr:uid="{1B014479-BDCB-4530-B047-64BA9B49DB8C}"/>
    <hyperlink ref="H135" r:id="rId13" xr:uid="{7CDDC93F-88F7-4EE6-ADDE-A4855BF58833}"/>
    <hyperlink ref="G128" r:id="rId14" xr:uid="{EAAA5C1C-E4E8-4409-9F89-C4B777FB1B2B}"/>
    <hyperlink ref="G139" r:id="rId15" xr:uid="{1D60B72A-ADAA-456E-BA7B-F0BFFF6D7152}"/>
    <hyperlink ref="G145" r:id="rId16" xr:uid="{A9EF3D42-38B4-4AEF-9605-4CD3C7279244}"/>
    <hyperlink ref="G143" r:id="rId17" xr:uid="{2900B8DB-496A-4B97-AAE1-2BA537E05A83}"/>
    <hyperlink ref="G150" r:id="rId18" xr:uid="{82066276-0C76-4CFE-A0AC-165C0F7AA746}"/>
    <hyperlink ref="H138" r:id="rId19" xr:uid="{0DA676F0-CE20-405A-90D9-34681661D20E}"/>
    <hyperlink ref="G135" r:id="rId20" xr:uid="{C077EA44-87C1-426D-A292-0223FD7D4E9A}"/>
    <hyperlink ref="G137" r:id="rId21" xr:uid="{39B74952-4B43-44FB-A899-4A881DDABDE8}"/>
    <hyperlink ref="G149" r:id="rId22" xr:uid="{1391E8AA-4C0C-4409-AE49-6CF3C82306AC}"/>
    <hyperlink ref="G129" r:id="rId23" xr:uid="{CA61A871-1257-4F5D-A0A0-150E10640D6B}"/>
    <hyperlink ref="G136" r:id="rId24" xr:uid="{306F4069-4A5C-427C-BED7-D336854DFA46}"/>
    <hyperlink ref="G144" r:id="rId25" xr:uid="{22C65D12-E32F-4E83-8991-78303E631D3D}"/>
    <hyperlink ref="G125" r:id="rId26" xr:uid="{B7D39DE3-9D6A-4702-891C-8F82CC4F3C11}"/>
    <hyperlink ref="G133" r:id="rId27" xr:uid="{BD9CFD3B-AFD6-4D19-BFFE-797EE9839BB2}"/>
  </hyperlinks>
  <pageMargins left="0.7" right="0.7" top="0.75" bottom="0.75" header="0.3" footer="0.3"/>
  <drawing r:id="rId28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A95F63-FD28-4A9C-90CB-22C0F98E0034}">
  <dimension ref="A1:G258"/>
  <sheetViews>
    <sheetView topLeftCell="A60" zoomScaleNormal="100" workbookViewId="0">
      <selection activeCell="L16" sqref="L16"/>
    </sheetView>
  </sheetViews>
  <sheetFormatPr defaultRowHeight="14.4" x14ac:dyDescent="0.3"/>
  <cols>
    <col min="1" max="1" width="24.88671875" customWidth="1"/>
    <col min="2" max="2" width="17.33203125" bestFit="1" customWidth="1"/>
    <col min="3" max="3" width="20.33203125" customWidth="1"/>
    <col min="4" max="4" width="18.33203125" customWidth="1"/>
    <col min="5" max="5" width="14.109375" bestFit="1" customWidth="1"/>
    <col min="11" max="11" width="10.6640625" bestFit="1" customWidth="1"/>
  </cols>
  <sheetData>
    <row r="1" spans="1:7" x14ac:dyDescent="0.3">
      <c r="A1" t="s">
        <v>21</v>
      </c>
    </row>
    <row r="3" spans="1:7" x14ac:dyDescent="0.3">
      <c r="A3" s="22" t="s">
        <v>22</v>
      </c>
    </row>
    <row r="5" spans="1:7" ht="70.95" customHeight="1" x14ac:dyDescent="0.3">
      <c r="A5" s="105" t="s">
        <v>87</v>
      </c>
      <c r="B5" s="105"/>
      <c r="C5" s="105"/>
      <c r="D5" s="105"/>
      <c r="E5" s="105"/>
    </row>
    <row r="7" spans="1:7" x14ac:dyDescent="0.3">
      <c r="A7" s="22" t="s">
        <v>23</v>
      </c>
    </row>
    <row r="9" spans="1:7" x14ac:dyDescent="0.3">
      <c r="A9" t="s">
        <v>24</v>
      </c>
    </row>
    <row r="10" spans="1:7" x14ac:dyDescent="0.3">
      <c r="D10" s="51" t="s">
        <v>94</v>
      </c>
    </row>
    <row r="11" spans="1:7" x14ac:dyDescent="0.3">
      <c r="A11" s="22" t="s">
        <v>104</v>
      </c>
      <c r="E11" t="s">
        <v>90</v>
      </c>
      <c r="F11" t="s">
        <v>91</v>
      </c>
    </row>
    <row r="12" spans="1:7" x14ac:dyDescent="0.3">
      <c r="D12" t="s">
        <v>88</v>
      </c>
      <c r="E12" s="3">
        <f>SUM(PowerStationData2023!U3:U21)</f>
        <v>181851078.66666663</v>
      </c>
      <c r="F12" s="6">
        <f>E12/SUM($E$12:$E$14)</f>
        <v>0.8723460872586265</v>
      </c>
      <c r="G12" s="1" t="s">
        <v>98</v>
      </c>
    </row>
    <row r="13" spans="1:7" ht="96" customHeight="1" x14ac:dyDescent="0.3">
      <c r="A13" s="104" t="s">
        <v>204</v>
      </c>
      <c r="B13" s="104"/>
      <c r="D13" t="s">
        <v>89</v>
      </c>
      <c r="E13" s="4">
        <f>17957*1000</f>
        <v>17957000</v>
      </c>
      <c r="F13" s="6">
        <f>E13/SUM($E$12:$E$14)</f>
        <v>8.6140367182625383E-2</v>
      </c>
      <c r="G13" s="1" t="s">
        <v>97</v>
      </c>
    </row>
    <row r="14" spans="1:7" x14ac:dyDescent="0.3">
      <c r="A14" t="s">
        <v>25</v>
      </c>
      <c r="D14" t="s">
        <v>82</v>
      </c>
      <c r="E14" s="4">
        <f>8654*1000</f>
        <v>8654000</v>
      </c>
      <c r="F14" s="6">
        <f>E14/SUM($E$12:$E$14)</f>
        <v>4.1513545558748123E-2</v>
      </c>
    </row>
    <row r="16" spans="1:7" x14ac:dyDescent="0.3">
      <c r="D16" t="s">
        <v>95</v>
      </c>
      <c r="E16" s="6">
        <f>SUM(E13:E14)/SUM(E12:E14)</f>
        <v>0.1276539127413735</v>
      </c>
    </row>
    <row r="17" spans="1:4" x14ac:dyDescent="0.3">
      <c r="D17" s="2" t="s">
        <v>96</v>
      </c>
    </row>
    <row r="26" spans="1:4" x14ac:dyDescent="0.3">
      <c r="A26" s="48" t="s">
        <v>85</v>
      </c>
      <c r="B26" s="67">
        <f>ROUND(AVERAGE(SUMPRODUCT(PowerStationData2023!$Q$3:$Q$21,PowerStationData2023!$Q$72:$Q$90),SUMPRODUCT(PowerStationData2023!$R$3:$R$21,PowerStationData2023!$R$72:$R$90),SUMPRODUCT(PowerStationData2023!$S$3:$S$21,PowerStationData2023!$S$72:$S$90))/AVERAGE(SUM(PowerStationData2023!$Q$3:$Q$21),SUM(PowerStationData2023!$R$3:$R$21),SUM(PowerStationData2023!$S$3:$S$21)),4)</f>
        <v>1.103</v>
      </c>
      <c r="C26" s="49" t="s">
        <v>81</v>
      </c>
    </row>
    <row r="28" spans="1:4" x14ac:dyDescent="0.3">
      <c r="A28" s="48" t="s">
        <v>86</v>
      </c>
      <c r="B28" s="67">
        <f>ROUND(SUMPRODUCT(PowerStationData2023!$S$3:$S$21,PowerStationData2023!$S$72:$S$90)/SUM(PowerStationData2023!$S$3:$S$21),4)</f>
        <v>1.1047</v>
      </c>
      <c r="C28" s="49" t="s">
        <v>81</v>
      </c>
    </row>
    <row r="30" spans="1:4" x14ac:dyDescent="0.3">
      <c r="A30" s="22" t="s">
        <v>103</v>
      </c>
    </row>
    <row r="32" spans="1:4" x14ac:dyDescent="0.3">
      <c r="A32" s="51" t="s">
        <v>180</v>
      </c>
      <c r="C32">
        <v>5</v>
      </c>
      <c r="D32" t="s">
        <v>209</v>
      </c>
    </row>
    <row r="34" spans="1:5" x14ac:dyDescent="0.3">
      <c r="A34" t="s">
        <v>181</v>
      </c>
      <c r="B34" t="s">
        <v>182</v>
      </c>
      <c r="C34" t="s">
        <v>185</v>
      </c>
      <c r="D34" t="s">
        <v>186</v>
      </c>
      <c r="E34" t="s">
        <v>184</v>
      </c>
    </row>
    <row r="35" spans="1:5" x14ac:dyDescent="0.3">
      <c r="A35" t="str" cm="1">
        <f t="array" ref="A35:D39">_xlfn._xlws.FILTER(PowerStationData2023!$A$136:$D$182,PowerStationData2023!$D$136:$D$182&lt;=C32,"")</f>
        <v>TWE Golden Valley Wind Power Project</v>
      </c>
      <c r="B35" s="61">
        <v>44317</v>
      </c>
      <c r="C35" s="4">
        <v>509303</v>
      </c>
      <c r="D35" s="4">
        <v>1</v>
      </c>
    </row>
    <row r="36" spans="1:5" x14ac:dyDescent="0.3">
      <c r="A36" t="str">
        <v>GS11949 Small-scale solar electrical programme, South Africa</v>
      </c>
      <c r="B36" s="61">
        <v>44181</v>
      </c>
      <c r="C36" s="4">
        <v>22500</v>
      </c>
      <c r="D36" s="4">
        <v>2</v>
      </c>
    </row>
    <row r="37" spans="1:5" x14ac:dyDescent="0.3">
      <c r="A37" t="str">
        <v>Solar Energy Programme for South Africa</v>
      </c>
      <c r="B37" s="61">
        <v>43497</v>
      </c>
      <c r="C37" s="4">
        <v>381930</v>
      </c>
      <c r="D37" s="4">
        <v>3</v>
      </c>
    </row>
    <row r="38" spans="1:5" x14ac:dyDescent="0.3">
      <c r="A38" t="str">
        <v>LONGYUAN MULILO DE AAR MAANHAARBERG WIND ENERGY FACILITY</v>
      </c>
      <c r="B38" s="61">
        <v>43039</v>
      </c>
      <c r="C38" s="4">
        <v>290500</v>
      </c>
      <c r="D38" s="4">
        <v>4</v>
      </c>
    </row>
    <row r="39" spans="1:5" x14ac:dyDescent="0.3">
      <c r="A39" t="str">
        <v>LONGYUAN MULILO DE AAR 2 NORTH WIND ENERGY FACILITY</v>
      </c>
      <c r="B39" s="61">
        <v>43039</v>
      </c>
      <c r="C39" s="4">
        <v>439600</v>
      </c>
      <c r="D39" s="4">
        <v>4</v>
      </c>
    </row>
    <row r="41" spans="1:5" x14ac:dyDescent="0.3">
      <c r="A41" t="s">
        <v>187</v>
      </c>
      <c r="C41" s="5">
        <f>SUM(C35:C39)</f>
        <v>1643833</v>
      </c>
      <c r="D41" s="5">
        <f>SUM(D35:D39)</f>
        <v>14</v>
      </c>
    </row>
    <row r="42" spans="1:5" x14ac:dyDescent="0.3">
      <c r="A42" t="s">
        <v>189</v>
      </c>
      <c r="C42" s="6">
        <f>C41/SUM($E$12:$E$14)</f>
        <v>7.8855253219867801E-3</v>
      </c>
      <c r="D42" s="6">
        <f>D41/SUM($E$12:$E$14)</f>
        <v>6.7158497552862694E-8</v>
      </c>
    </row>
    <row r="44" spans="1:5" x14ac:dyDescent="0.3">
      <c r="A44" s="51" t="s">
        <v>188</v>
      </c>
      <c r="C44">
        <v>30</v>
      </c>
      <c r="D44" t="s">
        <v>209</v>
      </c>
    </row>
    <row r="46" spans="1:5" x14ac:dyDescent="0.3">
      <c r="A46" t="s">
        <v>181</v>
      </c>
      <c r="B46" t="s">
        <v>190</v>
      </c>
      <c r="C46" t="s">
        <v>99</v>
      </c>
      <c r="D46" t="s">
        <v>184</v>
      </c>
      <c r="E46" t="s">
        <v>193</v>
      </c>
    </row>
    <row r="47" spans="1:5" x14ac:dyDescent="0.3">
      <c r="A47" t="str" cm="1">
        <f t="array" ref="A47:E76">_xlfn._xlws.FILTER(PowerStationData2023!$A$136:$E$182,PowerStationData2023!$D$136:$D$182&lt;=C44,"")</f>
        <v>Ankerlig</v>
      </c>
      <c r="B47" s="61">
        <v>39142</v>
      </c>
      <c r="C47" s="4">
        <v>1332491</v>
      </c>
      <c r="D47" s="4">
        <v>30</v>
      </c>
      <c r="E47" s="52">
        <v>0.82640342984294057</v>
      </c>
    </row>
    <row r="48" spans="1:5" x14ac:dyDescent="0.3">
      <c r="A48" t="str">
        <v>Gourikwa</v>
      </c>
      <c r="B48" s="61">
        <v>39264</v>
      </c>
      <c r="C48" s="4">
        <v>1681217</v>
      </c>
      <c r="D48" s="4">
        <v>29</v>
      </c>
      <c r="E48" s="52">
        <v>0.80662909836835439</v>
      </c>
    </row>
    <row r="49" spans="1:5" x14ac:dyDescent="0.3">
      <c r="A49" t="str">
        <v>Medupi</v>
      </c>
      <c r="B49" s="61">
        <v>42238</v>
      </c>
      <c r="C49" s="4">
        <v>23246212</v>
      </c>
      <c r="D49" s="4">
        <v>9</v>
      </c>
      <c r="E49" s="52">
        <v>0.89196592982224709</v>
      </c>
    </row>
    <row r="50" spans="1:5" x14ac:dyDescent="0.3">
      <c r="A50" t="str">
        <v>Kusile</v>
      </c>
      <c r="B50" s="61">
        <v>42977</v>
      </c>
      <c r="C50" s="4">
        <v>9119476</v>
      </c>
      <c r="D50" s="4">
        <v>6</v>
      </c>
      <c r="E50" s="52">
        <v>1.0239906159995815</v>
      </c>
    </row>
    <row r="51" spans="1:5" x14ac:dyDescent="0.3">
      <c r="A51" t="str">
        <v>Green Power for South Africa</v>
      </c>
      <c r="B51" s="61">
        <v>41425</v>
      </c>
      <c r="C51" s="4">
        <v>1219826</v>
      </c>
      <c r="D51" s="4">
        <v>27</v>
      </c>
      <c r="E51" s="52">
        <v>0</v>
      </c>
    </row>
    <row r="52" spans="1:5" x14ac:dyDescent="0.3">
      <c r="A52" t="str">
        <v>South African Grid Connected Wind Farm Programme</v>
      </c>
      <c r="B52" s="61">
        <v>41730</v>
      </c>
      <c r="C52" s="4">
        <v>318056</v>
      </c>
      <c r="D52" s="4">
        <v>17</v>
      </c>
      <c r="E52" s="52">
        <v>0</v>
      </c>
    </row>
    <row r="53" spans="1:5" x14ac:dyDescent="0.3">
      <c r="A53" t="str">
        <v>TWE Golden Valley Wind Power Project</v>
      </c>
      <c r="B53" s="61">
        <v>44317</v>
      </c>
      <c r="C53" s="4">
        <v>509303</v>
      </c>
      <c r="D53" s="4">
        <v>1</v>
      </c>
      <c r="E53" s="52">
        <v>0</v>
      </c>
    </row>
    <row r="54" spans="1:5" x14ac:dyDescent="0.3">
      <c r="A54" t="str">
        <v>GS11949 Small-scale solar electrical programme, South Africa</v>
      </c>
      <c r="B54" s="61">
        <v>44181</v>
      </c>
      <c r="C54" s="4">
        <v>22500</v>
      </c>
      <c r="D54" s="4">
        <v>2</v>
      </c>
      <c r="E54" s="52">
        <v>0</v>
      </c>
    </row>
    <row r="55" spans="1:5" x14ac:dyDescent="0.3">
      <c r="A55" t="str">
        <v>Solar Energy Programme for South Africa</v>
      </c>
      <c r="B55" s="61">
        <v>43497</v>
      </c>
      <c r="C55" s="4">
        <v>381930</v>
      </c>
      <c r="D55" s="4">
        <v>3</v>
      </c>
      <c r="E55" s="52">
        <v>0</v>
      </c>
    </row>
    <row r="56" spans="1:5" x14ac:dyDescent="0.3">
      <c r="A56" t="str">
        <v>LONGYUAN MULILO DE AAR MAANHAARBERG WIND ENERGY FACILITY</v>
      </c>
      <c r="B56" s="61">
        <v>43039</v>
      </c>
      <c r="C56" s="4">
        <v>290500</v>
      </c>
      <c r="D56" s="4">
        <v>4</v>
      </c>
      <c r="E56" s="52">
        <v>0</v>
      </c>
    </row>
    <row r="57" spans="1:5" x14ac:dyDescent="0.3">
      <c r="A57" t="str">
        <v>LONGYUAN MULILO DE AAR 2 NORTH WIND ENERGY FACILITY</v>
      </c>
      <c r="B57" s="61">
        <v>43039</v>
      </c>
      <c r="C57" s="4">
        <v>439600</v>
      </c>
      <c r="D57" s="4">
        <v>4</v>
      </c>
      <c r="E57" s="52">
        <v>0</v>
      </c>
    </row>
    <row r="58" spans="1:5" x14ac:dyDescent="0.3">
      <c r="A58" t="str">
        <v>Amakhala Emoyeni Grid Connected 138.6 MW Wind Farm, Phase 1, South Africa</v>
      </c>
      <c r="B58" s="61">
        <v>42536</v>
      </c>
      <c r="C58" s="4">
        <v>450559</v>
      </c>
      <c r="D58" s="4">
        <v>7</v>
      </c>
      <c r="E58" s="52">
        <v>0</v>
      </c>
    </row>
    <row r="59" spans="1:5" x14ac:dyDescent="0.3">
      <c r="A59" t="str">
        <v>South Africa Wind Energy</v>
      </c>
      <c r="B59" s="61">
        <v>42370</v>
      </c>
      <c r="C59" s="4">
        <v>94870.8</v>
      </c>
      <c r="D59" s="4">
        <v>8</v>
      </c>
      <c r="E59" s="52">
        <v>0</v>
      </c>
    </row>
    <row r="60" spans="1:5" x14ac:dyDescent="0.3">
      <c r="A60" t="str">
        <v>West Coast 1 Wind Farm in South Africa</v>
      </c>
      <c r="B60" s="61">
        <v>42095</v>
      </c>
      <c r="C60" s="4">
        <v>293400</v>
      </c>
      <c r="D60" s="4">
        <v>10</v>
      </c>
      <c r="E60" s="52">
        <v>0</v>
      </c>
    </row>
    <row r="61" spans="1:5" x14ac:dyDescent="0.3">
      <c r="A61" t="str">
        <v>Renewable Energy Carbon Programme for Africa (RECPA)</v>
      </c>
      <c r="B61" s="61">
        <v>42064</v>
      </c>
      <c r="C61" s="4">
        <v>140180</v>
      </c>
      <c r="D61" s="4">
        <v>11</v>
      </c>
      <c r="E61" s="52">
        <v>0</v>
      </c>
    </row>
    <row r="62" spans="1:5" x14ac:dyDescent="0.3">
      <c r="A62" t="str">
        <v>Grid Connected Photovoltaic (PV) Renewable Electricity Generating Facilities PoA</v>
      </c>
      <c r="B62" s="61">
        <v>42013</v>
      </c>
      <c r="C62" s="4">
        <v>20500</v>
      </c>
      <c r="D62" s="4">
        <v>12</v>
      </c>
      <c r="E62" s="52">
        <v>0</v>
      </c>
    </row>
    <row r="63" spans="1:5" x14ac:dyDescent="0.3">
      <c r="A63" t="str">
        <v>South African Large Scale Grid Connected Solar Park Programme</v>
      </c>
      <c r="B63" s="61">
        <v>42005</v>
      </c>
      <c r="C63" s="4">
        <v>66395</v>
      </c>
      <c r="D63" s="4">
        <v>13</v>
      </c>
      <c r="E63" s="52">
        <v>0</v>
      </c>
    </row>
    <row r="64" spans="1:5" x14ac:dyDescent="0.3">
      <c r="A64" t="str">
        <v>Cookhouse Wind Farm in South Africa</v>
      </c>
      <c r="B64" s="61">
        <v>41962</v>
      </c>
      <c r="C64" s="4">
        <v>372500</v>
      </c>
      <c r="D64" s="4">
        <v>14</v>
      </c>
      <c r="E64" s="52">
        <v>0</v>
      </c>
    </row>
    <row r="65" spans="1:5" x14ac:dyDescent="0.3">
      <c r="A65" t="str">
        <v>Kathu Grid Connected 100 MW Solar Park, South Africa</v>
      </c>
      <c r="B65" s="61">
        <v>41944</v>
      </c>
      <c r="C65" s="4">
        <v>260074</v>
      </c>
      <c r="D65" s="4">
        <v>15</v>
      </c>
      <c r="E65" s="52">
        <v>0</v>
      </c>
    </row>
    <row r="66" spans="1:5" x14ac:dyDescent="0.3">
      <c r="A66" t="str">
        <v>Red Cap Kouga Wind Farm</v>
      </c>
      <c r="B66" s="61">
        <v>41735</v>
      </c>
      <c r="C66" s="4">
        <v>290500</v>
      </c>
      <c r="D66" s="4">
        <v>16</v>
      </c>
      <c r="E66" s="52">
        <v>0</v>
      </c>
    </row>
    <row r="67" spans="1:5" x14ac:dyDescent="0.3">
      <c r="A67" t="str">
        <v>Karoo Renewable Energy Facility (Nobelsfontein Solar PV)</v>
      </c>
      <c r="B67" s="61">
        <v>41640</v>
      </c>
      <c r="C67" s="4">
        <v>94527</v>
      </c>
      <c r="D67" s="4">
        <v>18</v>
      </c>
      <c r="E67" s="52">
        <v>0</v>
      </c>
    </row>
    <row r="68" spans="1:5" x14ac:dyDescent="0.3">
      <c r="A68" t="str">
        <v>Karoo Renewable Energy Facility (Nobelsfontein Wind)</v>
      </c>
      <c r="B68" s="61">
        <v>41640</v>
      </c>
      <c r="C68" s="4">
        <v>878438</v>
      </c>
      <c r="D68" s="4">
        <v>18</v>
      </c>
      <c r="E68" s="52">
        <v>0</v>
      </c>
    </row>
    <row r="69" spans="1:5" x14ac:dyDescent="0.3">
      <c r="A69" t="str">
        <v>Dassieklip Wind Energy Facility in South Africa</v>
      </c>
      <c r="B69" s="61">
        <v>41640</v>
      </c>
      <c r="C69" s="4">
        <v>74267</v>
      </c>
      <c r="D69" s="4">
        <v>18</v>
      </c>
      <c r="E69" s="52">
        <v>0</v>
      </c>
    </row>
    <row r="70" spans="1:5" x14ac:dyDescent="0.3">
      <c r="A70" t="str">
        <v>South African Wind Power Projects</v>
      </c>
      <c r="B70" s="61">
        <v>41640</v>
      </c>
      <c r="C70" s="4">
        <v>93093</v>
      </c>
      <c r="D70" s="4">
        <v>18</v>
      </c>
      <c r="E70" s="52">
        <v>0</v>
      </c>
    </row>
    <row r="71" spans="1:5" x14ac:dyDescent="0.3">
      <c r="A71" t="str">
        <v>Prieska Grid Connected 20 MW Solar Park, South Africa</v>
      </c>
      <c r="B71" s="61">
        <v>41579</v>
      </c>
      <c r="C71" s="4">
        <v>39483</v>
      </c>
      <c r="D71" s="4">
        <v>22</v>
      </c>
      <c r="E71" s="52">
        <v>0</v>
      </c>
    </row>
    <row r="72" spans="1:5" x14ac:dyDescent="0.3">
      <c r="A72" t="str">
        <v>Bokpoort</v>
      </c>
      <c r="B72" s="61">
        <v>41548</v>
      </c>
      <c r="C72" s="4">
        <v>224000</v>
      </c>
      <c r="D72" s="4">
        <v>23</v>
      </c>
      <c r="E72" s="52">
        <v>0</v>
      </c>
    </row>
    <row r="73" spans="1:5" x14ac:dyDescent="0.3">
      <c r="A73" t="str">
        <v>Hopefield wind energy facility in South Africa</v>
      </c>
      <c r="B73" s="61">
        <v>41548</v>
      </c>
      <c r="C73" s="4">
        <v>188500</v>
      </c>
      <c r="D73" s="4">
        <v>23</v>
      </c>
      <c r="E73" s="52">
        <v>0</v>
      </c>
    </row>
    <row r="74" spans="1:5" x14ac:dyDescent="0.3">
      <c r="A74" t="str">
        <v>Southern African Renewable Energy (SARE) Programme</v>
      </c>
      <c r="B74" s="61">
        <v>41467</v>
      </c>
      <c r="C74" s="4">
        <v>54785</v>
      </c>
      <c r="D74" s="4">
        <v>25</v>
      </c>
      <c r="E74" s="52">
        <v>0</v>
      </c>
    </row>
    <row r="75" spans="1:5" x14ac:dyDescent="0.3">
      <c r="A75" t="str">
        <v>Wind and solar PoA in South Africa</v>
      </c>
      <c r="B75" s="61">
        <v>41456</v>
      </c>
      <c r="C75" s="4">
        <v>18000</v>
      </c>
      <c r="D75" s="4">
        <v>26</v>
      </c>
      <c r="E75" s="52">
        <v>0</v>
      </c>
    </row>
    <row r="76" spans="1:5" x14ac:dyDescent="0.3">
      <c r="A76" t="str">
        <v>Coega IDZ Windfarm</v>
      </c>
      <c r="B76" s="61">
        <v>40330</v>
      </c>
      <c r="C76" s="4">
        <v>5500</v>
      </c>
      <c r="D76" s="4">
        <v>28</v>
      </c>
      <c r="E76" s="52">
        <v>0</v>
      </c>
    </row>
    <row r="77" spans="1:5" x14ac:dyDescent="0.3">
      <c r="B77" s="61"/>
      <c r="C77" s="4"/>
      <c r="D77" s="4"/>
    </row>
    <row r="80" spans="1:5" x14ac:dyDescent="0.3">
      <c r="A80" t="s">
        <v>187</v>
      </c>
      <c r="C80" s="5">
        <f>SUM(C47:C79)</f>
        <v>42220682.799999997</v>
      </c>
      <c r="D80" s="5"/>
    </row>
    <row r="81" spans="1:7" x14ac:dyDescent="0.3">
      <c r="A81" t="s">
        <v>189</v>
      </c>
      <c r="C81" s="57">
        <f>C80/SUM($E$12:$E$14)</f>
        <v>0.20253411589314227</v>
      </c>
      <c r="D81" s="57"/>
    </row>
    <row r="83" spans="1:7" x14ac:dyDescent="0.3">
      <c r="A83" s="2" t="s">
        <v>191</v>
      </c>
    </row>
    <row r="85" spans="1:7" x14ac:dyDescent="0.3">
      <c r="A85" s="48" t="s">
        <v>192</v>
      </c>
      <c r="B85" s="64">
        <f>SUMPRODUCT(E47:E76,C47:C76)/SUM(C47:C76)</f>
        <v>0.77048447529524278</v>
      </c>
      <c r="C85" s="49" t="s">
        <v>81</v>
      </c>
    </row>
    <row r="87" spans="1:7" x14ac:dyDescent="0.3">
      <c r="A87" s="22" t="s">
        <v>194</v>
      </c>
    </row>
    <row r="89" spans="1:7" x14ac:dyDescent="0.3">
      <c r="A89" t="s">
        <v>195</v>
      </c>
    </row>
    <row r="94" spans="1:7" x14ac:dyDescent="0.3">
      <c r="A94" s="51" t="s">
        <v>196</v>
      </c>
    </row>
    <row r="96" spans="1:7" x14ac:dyDescent="0.3">
      <c r="A96" s="65"/>
      <c r="B96" s="103" t="s">
        <v>197</v>
      </c>
      <c r="C96" s="103"/>
      <c r="D96" s="106" t="s">
        <v>202</v>
      </c>
      <c r="E96" s="107"/>
      <c r="F96" s="103" t="s">
        <v>203</v>
      </c>
      <c r="G96" s="103"/>
    </row>
    <row r="97" spans="1:7" x14ac:dyDescent="0.3">
      <c r="A97" s="65"/>
      <c r="B97" s="65" t="s">
        <v>198</v>
      </c>
      <c r="C97" s="65" t="s">
        <v>199</v>
      </c>
      <c r="D97" s="65" t="s">
        <v>198</v>
      </c>
      <c r="E97" s="65" t="s">
        <v>199</v>
      </c>
      <c r="F97" s="65" t="s">
        <v>198</v>
      </c>
      <c r="G97" s="65" t="s">
        <v>199</v>
      </c>
    </row>
    <row r="98" spans="1:7" x14ac:dyDescent="0.3">
      <c r="A98" s="65" t="s">
        <v>200</v>
      </c>
      <c r="B98" s="65">
        <v>0.5</v>
      </c>
      <c r="C98" s="65">
        <v>0.5</v>
      </c>
      <c r="D98" s="65">
        <v>0.4</v>
      </c>
      <c r="E98" s="65">
        <v>0.6</v>
      </c>
      <c r="F98" s="65">
        <v>0.3</v>
      </c>
      <c r="G98" s="65">
        <v>0.7</v>
      </c>
    </row>
    <row r="99" spans="1:7" x14ac:dyDescent="0.3">
      <c r="A99" s="65" t="s">
        <v>201</v>
      </c>
      <c r="B99" s="65">
        <v>0.4</v>
      </c>
      <c r="C99" s="65">
        <v>0.6</v>
      </c>
      <c r="D99" s="65">
        <v>0.25</v>
      </c>
      <c r="E99" s="65">
        <v>0.75</v>
      </c>
      <c r="F99" s="65">
        <v>0.25</v>
      </c>
      <c r="G99" s="65">
        <v>0.75</v>
      </c>
    </row>
    <row r="101" spans="1:7" x14ac:dyDescent="0.3">
      <c r="A101" t="s">
        <v>205</v>
      </c>
    </row>
    <row r="103" spans="1:7" x14ac:dyDescent="0.3">
      <c r="A103" s="65"/>
      <c r="B103" s="65" t="s">
        <v>197</v>
      </c>
      <c r="C103" s="65" t="s">
        <v>202</v>
      </c>
      <c r="D103" s="65" t="s">
        <v>203</v>
      </c>
    </row>
    <row r="104" spans="1:7" x14ac:dyDescent="0.3">
      <c r="A104" s="65"/>
      <c r="B104" s="65" t="s">
        <v>198</v>
      </c>
      <c r="C104" s="65" t="s">
        <v>198</v>
      </c>
      <c r="D104" s="65" t="s">
        <v>206</v>
      </c>
    </row>
    <row r="105" spans="1:7" x14ac:dyDescent="0.3">
      <c r="A105" s="65" t="s">
        <v>200</v>
      </c>
      <c r="B105" s="66">
        <f>$B$28*B98+$B$85*C98</f>
        <v>0.93759223764762134</v>
      </c>
      <c r="C105" s="66">
        <f>$B$28*D98+$B$85*E98</f>
        <v>0.90417068517714572</v>
      </c>
      <c r="D105" s="66">
        <f>$B$28*F98+$B$85*G98</f>
        <v>0.87074913270666987</v>
      </c>
    </row>
    <row r="106" spans="1:7" x14ac:dyDescent="0.3">
      <c r="A106" s="65" t="s">
        <v>201</v>
      </c>
      <c r="B106" s="66">
        <f t="shared" ref="B106" si="0">$B$28*B99+$B$85*C99</f>
        <v>0.90417068517714572</v>
      </c>
      <c r="C106" s="66">
        <f t="shared" ref="C106" si="1">$B$28*D99+$B$85*E99</f>
        <v>0.854038356471432</v>
      </c>
      <c r="D106" s="66">
        <f t="shared" ref="D106" si="2">$B$28*F99+$B$85*G99</f>
        <v>0.854038356471432</v>
      </c>
    </row>
    <row r="108" spans="1:7" x14ac:dyDescent="0.3">
      <c r="A108" s="51" t="s">
        <v>207</v>
      </c>
    </row>
    <row r="110" spans="1:7" x14ac:dyDescent="0.3">
      <c r="A110" s="65"/>
      <c r="B110" s="103" t="s">
        <v>197</v>
      </c>
      <c r="C110" s="103"/>
      <c r="D110" s="106" t="s">
        <v>202</v>
      </c>
      <c r="E110" s="107"/>
      <c r="F110" s="103" t="s">
        <v>203</v>
      </c>
      <c r="G110" s="103"/>
    </row>
    <row r="111" spans="1:7" x14ac:dyDescent="0.3">
      <c r="A111" s="65"/>
      <c r="B111" s="65" t="s">
        <v>198</v>
      </c>
      <c r="C111" s="65" t="s">
        <v>199</v>
      </c>
      <c r="D111" s="65" t="s">
        <v>198</v>
      </c>
      <c r="E111" s="65" t="s">
        <v>199</v>
      </c>
      <c r="F111" s="65" t="s">
        <v>198</v>
      </c>
      <c r="G111" s="65" t="s">
        <v>199</v>
      </c>
    </row>
    <row r="112" spans="1:7" x14ac:dyDescent="0.3">
      <c r="A112" s="65" t="s">
        <v>200</v>
      </c>
      <c r="B112" s="65">
        <v>1</v>
      </c>
      <c r="C112" s="65">
        <v>0</v>
      </c>
      <c r="D112" s="65">
        <v>1</v>
      </c>
      <c r="E112" s="65">
        <v>0</v>
      </c>
      <c r="F112" s="65">
        <v>1</v>
      </c>
      <c r="G112" s="65">
        <v>0</v>
      </c>
    </row>
    <row r="113" spans="1:7" x14ac:dyDescent="0.3">
      <c r="A113" s="65" t="s">
        <v>201</v>
      </c>
      <c r="B113" s="65">
        <v>1</v>
      </c>
      <c r="C113" s="65">
        <v>0</v>
      </c>
      <c r="D113" s="65">
        <v>1</v>
      </c>
      <c r="E113" s="65">
        <v>0</v>
      </c>
      <c r="F113" s="65">
        <v>1</v>
      </c>
      <c r="G113" s="65">
        <v>0</v>
      </c>
    </row>
    <row r="115" spans="1:7" x14ac:dyDescent="0.3">
      <c r="A115" t="s">
        <v>208</v>
      </c>
    </row>
    <row r="117" spans="1:7" x14ac:dyDescent="0.3">
      <c r="A117" s="65"/>
      <c r="B117" s="65" t="s">
        <v>197</v>
      </c>
      <c r="C117" s="65" t="s">
        <v>202</v>
      </c>
      <c r="D117" s="65" t="s">
        <v>203</v>
      </c>
    </row>
    <row r="118" spans="1:7" x14ac:dyDescent="0.3">
      <c r="A118" s="65"/>
      <c r="B118" s="65" t="s">
        <v>198</v>
      </c>
      <c r="C118" s="65" t="s">
        <v>198</v>
      </c>
      <c r="D118" s="65" t="s">
        <v>206</v>
      </c>
    </row>
    <row r="119" spans="1:7" x14ac:dyDescent="0.3">
      <c r="A119" s="65" t="s">
        <v>200</v>
      </c>
      <c r="B119" s="66">
        <f>$B$26*B112+$B$85*C112</f>
        <v>1.103</v>
      </c>
      <c r="C119" s="66">
        <f>$B$26*D112+$B$85*E112</f>
        <v>1.103</v>
      </c>
      <c r="D119" s="66">
        <f>$B$26*F112+$B$85*G112</f>
        <v>1.103</v>
      </c>
    </row>
    <row r="120" spans="1:7" x14ac:dyDescent="0.3">
      <c r="A120" s="65" t="s">
        <v>201</v>
      </c>
      <c r="B120" s="66">
        <f>$B$26*B113+$B$85*C113</f>
        <v>1.103</v>
      </c>
      <c r="C120" s="66">
        <f>$B$26*D113+$B$85*E113</f>
        <v>1.103</v>
      </c>
      <c r="D120" s="66">
        <f>$B$26*F113+$B$85*G113</f>
        <v>1.103</v>
      </c>
    </row>
    <row r="124" spans="1:7" x14ac:dyDescent="0.3">
      <c r="A124" s="22" t="s">
        <v>210</v>
      </c>
    </row>
    <row r="126" spans="1:7" x14ac:dyDescent="0.3">
      <c r="A126" s="51" t="s">
        <v>215</v>
      </c>
    </row>
    <row r="127" spans="1:7" x14ac:dyDescent="0.3">
      <c r="A127" t="s">
        <v>211</v>
      </c>
    </row>
    <row r="129" spans="1:5" x14ac:dyDescent="0.3">
      <c r="A129" t="s">
        <v>212</v>
      </c>
      <c r="B129" s="68">
        <f>B26</f>
        <v>1.103</v>
      </c>
      <c r="C129" t="s">
        <v>216</v>
      </c>
    </row>
    <row r="130" spans="1:5" x14ac:dyDescent="0.3">
      <c r="A130" t="s">
        <v>213</v>
      </c>
      <c r="B130" s="68">
        <f>B28</f>
        <v>1.1047</v>
      </c>
      <c r="C130" t="s">
        <v>216</v>
      </c>
    </row>
    <row r="132" spans="1:5" x14ac:dyDescent="0.3">
      <c r="A132" s="51" t="s">
        <v>214</v>
      </c>
    </row>
    <row r="133" spans="1:5" x14ac:dyDescent="0.3">
      <c r="A133" t="s">
        <v>217</v>
      </c>
    </row>
    <row r="135" spans="1:5" x14ac:dyDescent="0.3">
      <c r="A135" t="s">
        <v>218</v>
      </c>
    </row>
    <row r="137" spans="1:5" x14ac:dyDescent="0.3">
      <c r="A137" s="51" t="s">
        <v>180</v>
      </c>
      <c r="C137">
        <v>5</v>
      </c>
      <c r="D137" t="s">
        <v>209</v>
      </c>
    </row>
    <row r="139" spans="1:5" x14ac:dyDescent="0.3">
      <c r="A139" t="s">
        <v>181</v>
      </c>
      <c r="B139" t="s">
        <v>182</v>
      </c>
      <c r="C139" t="s">
        <v>185</v>
      </c>
      <c r="D139" t="s">
        <v>186</v>
      </c>
      <c r="E139" t="s">
        <v>184</v>
      </c>
    </row>
    <row r="140" spans="1:5" x14ac:dyDescent="0.3">
      <c r="A140" t="str" cm="1">
        <f t="array" ref="A140:D144">_xlfn._xlws.FILTER(PowerStationData2023!$A$186:$D$205,PowerStationData2023!$D$186:$D$205&lt;=C137,"")</f>
        <v>Majuba</v>
      </c>
      <c r="B140" s="61">
        <v>35156</v>
      </c>
      <c r="C140" s="4">
        <v>15540628</v>
      </c>
      <c r="D140" s="4">
        <v>5</v>
      </c>
    </row>
    <row r="141" spans="1:5" x14ac:dyDescent="0.3">
      <c r="A141" t="str">
        <v>Ankerlig</v>
      </c>
      <c r="B141" s="61">
        <v>39142</v>
      </c>
      <c r="C141" s="4">
        <v>1332491</v>
      </c>
      <c r="D141" s="4">
        <v>4</v>
      </c>
    </row>
    <row r="142" spans="1:5" x14ac:dyDescent="0.3">
      <c r="A142" t="str">
        <v>Gourikwa</v>
      </c>
      <c r="B142" s="61">
        <v>39264</v>
      </c>
      <c r="C142" s="4">
        <v>1681217</v>
      </c>
      <c r="D142" s="4">
        <v>3</v>
      </c>
    </row>
    <row r="143" spans="1:5" x14ac:dyDescent="0.3">
      <c r="A143" t="str">
        <v>Medupi</v>
      </c>
      <c r="B143" s="61">
        <v>42238</v>
      </c>
      <c r="C143" s="4">
        <v>23246212</v>
      </c>
      <c r="D143" s="4">
        <v>2</v>
      </c>
    </row>
    <row r="144" spans="1:5" x14ac:dyDescent="0.3">
      <c r="A144" t="str">
        <v>Kusile</v>
      </c>
      <c r="B144" s="61">
        <v>42977</v>
      </c>
      <c r="C144" s="4">
        <v>9119476</v>
      </c>
      <c r="D144" s="4">
        <v>1</v>
      </c>
    </row>
    <row r="146" spans="1:5" x14ac:dyDescent="0.3">
      <c r="A146" t="s">
        <v>187</v>
      </c>
      <c r="C146" s="5">
        <f>SUM(C140:C144)</f>
        <v>50920024</v>
      </c>
      <c r="D146" s="5"/>
    </row>
    <row r="147" spans="1:5" x14ac:dyDescent="0.3">
      <c r="A147" t="s">
        <v>189</v>
      </c>
      <c r="C147" s="6">
        <f>C146/SUM($E$12:$E$14)</f>
        <v>0.24426516479969354</v>
      </c>
      <c r="D147" s="6"/>
    </row>
    <row r="149" spans="1:5" x14ac:dyDescent="0.3">
      <c r="A149" s="51" t="s">
        <v>188</v>
      </c>
      <c r="C149">
        <v>5</v>
      </c>
      <c r="D149" t="s">
        <v>209</v>
      </c>
    </row>
    <row r="151" spans="1:5" x14ac:dyDescent="0.3">
      <c r="A151" t="s">
        <v>181</v>
      </c>
      <c r="B151" t="s">
        <v>190</v>
      </c>
      <c r="C151" t="s">
        <v>99</v>
      </c>
      <c r="D151" t="s">
        <v>184</v>
      </c>
      <c r="E151" t="s">
        <v>193</v>
      </c>
    </row>
    <row r="152" spans="1:5" x14ac:dyDescent="0.3">
      <c r="A152" t="str" cm="1">
        <f t="array" ref="A152:E156">_xlfn._xlws.FILTER(PowerStationData2023!$A$186:$E$205,PowerStationData2023!$D$186:$D$205&lt;=C149,"")</f>
        <v>Majuba</v>
      </c>
      <c r="B152" s="61">
        <v>35156</v>
      </c>
      <c r="C152" s="4">
        <v>15540628</v>
      </c>
      <c r="D152" s="4">
        <v>5</v>
      </c>
      <c r="E152" s="52">
        <v>1.17306473361716</v>
      </c>
    </row>
    <row r="153" spans="1:5" x14ac:dyDescent="0.3">
      <c r="A153" t="str">
        <v>Ankerlig</v>
      </c>
      <c r="B153" s="61">
        <v>39142</v>
      </c>
      <c r="C153" s="4">
        <v>1332491</v>
      </c>
      <c r="D153" s="4">
        <v>4</v>
      </c>
      <c r="E153" s="52">
        <v>0.82640342984294057</v>
      </c>
    </row>
    <row r="154" spans="1:5" x14ac:dyDescent="0.3">
      <c r="A154" t="str">
        <v>Gourikwa</v>
      </c>
      <c r="B154" s="61">
        <v>39264</v>
      </c>
      <c r="C154" s="4">
        <v>1681217</v>
      </c>
      <c r="D154" s="4">
        <v>3</v>
      </c>
      <c r="E154" s="52">
        <v>0.80662909836835439</v>
      </c>
    </row>
    <row r="155" spans="1:5" x14ac:dyDescent="0.3">
      <c r="A155" t="str">
        <v>Medupi</v>
      </c>
      <c r="B155" s="61">
        <v>42238</v>
      </c>
      <c r="C155" s="4">
        <v>23246212</v>
      </c>
      <c r="D155" s="4">
        <v>2</v>
      </c>
      <c r="E155" s="52">
        <v>0.89196592982224709</v>
      </c>
    </row>
    <row r="156" spans="1:5" x14ac:dyDescent="0.3">
      <c r="A156" t="str">
        <v>Kusile</v>
      </c>
      <c r="B156" s="61">
        <v>42977</v>
      </c>
      <c r="C156" s="4">
        <v>9119476</v>
      </c>
      <c r="D156" s="4">
        <v>1</v>
      </c>
      <c r="E156" s="52">
        <v>1.0239906159995815</v>
      </c>
    </row>
    <row r="159" spans="1:5" x14ac:dyDescent="0.3">
      <c r="D159" s="5"/>
    </row>
    <row r="160" spans="1:5" x14ac:dyDescent="0.3">
      <c r="D160" s="57"/>
    </row>
    <row r="162" spans="1:5" x14ac:dyDescent="0.3">
      <c r="A162" t="s">
        <v>221</v>
      </c>
    </row>
    <row r="164" spans="1:5" x14ac:dyDescent="0.3">
      <c r="A164" s="51" t="s">
        <v>223</v>
      </c>
      <c r="C164">
        <v>30</v>
      </c>
      <c r="D164" t="s">
        <v>209</v>
      </c>
    </row>
    <row r="166" spans="1:5" x14ac:dyDescent="0.3">
      <c r="A166" t="s">
        <v>181</v>
      </c>
      <c r="B166" t="s">
        <v>190</v>
      </c>
      <c r="C166" t="s">
        <v>99</v>
      </c>
      <c r="D166" t="s">
        <v>184</v>
      </c>
      <c r="E166" t="s">
        <v>193</v>
      </c>
    </row>
    <row r="167" spans="1:5" x14ac:dyDescent="0.3">
      <c r="A167" t="s">
        <v>61</v>
      </c>
      <c r="B167" s="61">
        <v>42238</v>
      </c>
      <c r="C167" s="4">
        <v>23246212</v>
      </c>
      <c r="D167" s="4">
        <v>2</v>
      </c>
      <c r="E167" s="52">
        <v>0.89196592982224709</v>
      </c>
    </row>
    <row r="168" spans="1:5" x14ac:dyDescent="0.3">
      <c r="A168" t="s">
        <v>62</v>
      </c>
      <c r="B168" s="61">
        <v>42977</v>
      </c>
      <c r="C168" s="4">
        <v>9119476</v>
      </c>
      <c r="D168" s="4">
        <v>1</v>
      </c>
      <c r="E168" s="52">
        <v>1.0239906159995815</v>
      </c>
    </row>
    <row r="169" spans="1:5" x14ac:dyDescent="0.3">
      <c r="A169" t="str">
        <f>PowerStationData2023!A210</f>
        <v>Green Power for South Africa</v>
      </c>
      <c r="B169" s="61">
        <f>PowerStationData2023!B210</f>
        <v>41425</v>
      </c>
      <c r="C169" s="4">
        <f>PowerStationData2023!C210</f>
        <v>1219826</v>
      </c>
      <c r="D169" s="4">
        <f>PowerStationData2023!D210</f>
        <v>25</v>
      </c>
      <c r="E169" s="52">
        <f>PowerStationData2023!E210</f>
        <v>0</v>
      </c>
    </row>
    <row r="170" spans="1:5" x14ac:dyDescent="0.3">
      <c r="A170" t="str">
        <f>PowerStationData2023!A211</f>
        <v>South African Grid Connected Wind Farm Programme</v>
      </c>
      <c r="B170" s="61">
        <f>PowerStationData2023!B211</f>
        <v>41730</v>
      </c>
      <c r="C170" s="4">
        <f>PowerStationData2023!C211</f>
        <v>318056</v>
      </c>
      <c r="D170" s="4">
        <f>PowerStationData2023!D211</f>
        <v>15</v>
      </c>
      <c r="E170" s="52">
        <f>PowerStationData2023!E211</f>
        <v>0</v>
      </c>
    </row>
    <row r="171" spans="1:5" x14ac:dyDescent="0.3">
      <c r="A171" t="str">
        <f>PowerStationData2023!A212</f>
        <v>TWE Golden Valley Wind Power Project</v>
      </c>
      <c r="B171" s="61">
        <f>PowerStationData2023!B212</f>
        <v>44317</v>
      </c>
      <c r="C171" s="4">
        <f>PowerStationData2023!C212</f>
        <v>509303</v>
      </c>
      <c r="D171" s="4">
        <f>PowerStationData2023!D212</f>
        <v>1</v>
      </c>
      <c r="E171" s="52">
        <f>PowerStationData2023!E212</f>
        <v>0</v>
      </c>
    </row>
    <row r="172" spans="1:5" x14ac:dyDescent="0.3">
      <c r="A172" t="str">
        <f>PowerStationData2023!A213</f>
        <v>GS11949 Small-scale solar electrical programme, South Africa</v>
      </c>
      <c r="B172" s="61">
        <f>PowerStationData2023!B213</f>
        <v>44181</v>
      </c>
      <c r="C172" s="4">
        <f>PowerStationData2023!C213</f>
        <v>22500</v>
      </c>
      <c r="D172" s="4">
        <f>PowerStationData2023!D213</f>
        <v>2</v>
      </c>
      <c r="E172" s="52">
        <f>PowerStationData2023!E213</f>
        <v>0</v>
      </c>
    </row>
    <row r="173" spans="1:5" x14ac:dyDescent="0.3">
      <c r="A173" t="str">
        <f>PowerStationData2023!A214</f>
        <v>Solar Energy Programme for South Africa</v>
      </c>
      <c r="B173" s="61">
        <f>PowerStationData2023!B214</f>
        <v>43497</v>
      </c>
      <c r="C173" s="4">
        <f>PowerStationData2023!C214</f>
        <v>381930</v>
      </c>
      <c r="D173" s="4">
        <f>PowerStationData2023!D214</f>
        <v>3</v>
      </c>
      <c r="E173" s="52">
        <f>PowerStationData2023!E214</f>
        <v>0</v>
      </c>
    </row>
    <row r="174" spans="1:5" x14ac:dyDescent="0.3">
      <c r="A174" t="str">
        <f>PowerStationData2023!A215</f>
        <v>LONGYUAN MULILO DE AAR MAANHAARBERG WIND ENERGY FACILITY</v>
      </c>
      <c r="B174" s="61">
        <f>PowerStationData2023!B215</f>
        <v>43039</v>
      </c>
      <c r="C174" s="4">
        <f>PowerStationData2023!C215</f>
        <v>290500</v>
      </c>
      <c r="D174" s="4">
        <f>PowerStationData2023!D215</f>
        <v>4</v>
      </c>
      <c r="E174" s="52">
        <f>PowerStationData2023!E215</f>
        <v>0</v>
      </c>
    </row>
    <row r="175" spans="1:5" x14ac:dyDescent="0.3">
      <c r="A175" t="str">
        <f>PowerStationData2023!A216</f>
        <v>LONGYUAN MULILO DE AAR 2 NORTH WIND ENERGY FACILITY</v>
      </c>
      <c r="B175" s="61">
        <f>PowerStationData2023!B216</f>
        <v>43039</v>
      </c>
      <c r="C175" s="4">
        <f>PowerStationData2023!C216</f>
        <v>439600</v>
      </c>
      <c r="D175" s="4">
        <f>PowerStationData2023!D216</f>
        <v>4</v>
      </c>
      <c r="E175" s="52">
        <f>PowerStationData2023!E216</f>
        <v>0</v>
      </c>
    </row>
    <row r="176" spans="1:5" x14ac:dyDescent="0.3">
      <c r="A176" t="str">
        <f>PowerStationData2023!A217</f>
        <v>Amakhala Emoyeni Grid Connected 138.6 MW Wind Farm, Phase 1, South Africa</v>
      </c>
      <c r="B176" s="61">
        <f>PowerStationData2023!B217</f>
        <v>42536</v>
      </c>
      <c r="C176" s="4">
        <f>PowerStationData2023!C217</f>
        <v>450559</v>
      </c>
      <c r="D176" s="4">
        <f>PowerStationData2023!D217</f>
        <v>6</v>
      </c>
      <c r="E176" s="52">
        <f>PowerStationData2023!E217</f>
        <v>0</v>
      </c>
    </row>
    <row r="177" spans="1:5" x14ac:dyDescent="0.3">
      <c r="A177" t="str">
        <f>PowerStationData2023!A218</f>
        <v>South Africa Wind Energy</v>
      </c>
      <c r="B177" s="61">
        <f>PowerStationData2023!B218</f>
        <v>42370</v>
      </c>
      <c r="C177" s="4">
        <f>PowerStationData2023!C218</f>
        <v>94870.8</v>
      </c>
      <c r="D177" s="4">
        <f>PowerStationData2023!D218</f>
        <v>7</v>
      </c>
      <c r="E177" s="52">
        <f>PowerStationData2023!E218</f>
        <v>0</v>
      </c>
    </row>
    <row r="178" spans="1:5" x14ac:dyDescent="0.3">
      <c r="A178" t="str">
        <f>PowerStationData2023!A219</f>
        <v>West Coast 1 Wind Farm in South Africa</v>
      </c>
      <c r="B178" s="61">
        <f>PowerStationData2023!B219</f>
        <v>42095</v>
      </c>
      <c r="C178" s="4">
        <f>PowerStationData2023!C219</f>
        <v>293400</v>
      </c>
      <c r="D178" s="4">
        <f>PowerStationData2023!D219</f>
        <v>8</v>
      </c>
      <c r="E178" s="52">
        <f>PowerStationData2023!E219</f>
        <v>0</v>
      </c>
    </row>
    <row r="179" spans="1:5" x14ac:dyDescent="0.3">
      <c r="A179" t="str">
        <f>PowerStationData2023!A220</f>
        <v>Renewable Energy Carbon Programme for Africa (RECPA)</v>
      </c>
      <c r="B179" s="61">
        <f>PowerStationData2023!B220</f>
        <v>42064</v>
      </c>
      <c r="C179" s="4">
        <f>PowerStationData2023!C220</f>
        <v>140180</v>
      </c>
      <c r="D179" s="4">
        <f>PowerStationData2023!D220</f>
        <v>9</v>
      </c>
      <c r="E179" s="52">
        <f>PowerStationData2023!E220</f>
        <v>0</v>
      </c>
    </row>
    <row r="180" spans="1:5" x14ac:dyDescent="0.3">
      <c r="A180" t="str">
        <f>PowerStationData2023!A221</f>
        <v>Grid Connected Photovoltaic (PV) Renewable Electricity Generating Facilities PoA</v>
      </c>
      <c r="B180" s="61">
        <f>PowerStationData2023!B221</f>
        <v>42013</v>
      </c>
      <c r="C180" s="4">
        <f>PowerStationData2023!C221</f>
        <v>20500</v>
      </c>
      <c r="D180" s="4">
        <f>PowerStationData2023!D221</f>
        <v>10</v>
      </c>
      <c r="E180" s="52">
        <f>PowerStationData2023!E221</f>
        <v>0</v>
      </c>
    </row>
    <row r="181" spans="1:5" x14ac:dyDescent="0.3">
      <c r="A181" t="str">
        <f>PowerStationData2023!A222</f>
        <v>South African Large Scale Grid Connected Solar Park Programme</v>
      </c>
      <c r="B181" s="61">
        <f>PowerStationData2023!B222</f>
        <v>42005</v>
      </c>
      <c r="C181" s="4">
        <f>PowerStationData2023!C222</f>
        <v>66395</v>
      </c>
      <c r="D181" s="4">
        <f>PowerStationData2023!D222</f>
        <v>11</v>
      </c>
      <c r="E181" s="52">
        <f>PowerStationData2023!E222</f>
        <v>0</v>
      </c>
    </row>
    <row r="182" spans="1:5" x14ac:dyDescent="0.3">
      <c r="A182" t="str">
        <f>PowerStationData2023!A223</f>
        <v>Cookhouse Wind Farm in South Africa</v>
      </c>
      <c r="B182" s="61">
        <f>PowerStationData2023!B223</f>
        <v>41962</v>
      </c>
      <c r="C182" s="4">
        <f>PowerStationData2023!C223</f>
        <v>372500</v>
      </c>
      <c r="D182" s="4">
        <f>PowerStationData2023!D223</f>
        <v>12</v>
      </c>
      <c r="E182" s="52">
        <f>PowerStationData2023!E223</f>
        <v>0</v>
      </c>
    </row>
    <row r="183" spans="1:5" x14ac:dyDescent="0.3">
      <c r="A183" t="str">
        <f>PowerStationData2023!A224</f>
        <v>Kathu Grid Connected 100 MW Solar Park, South Africa</v>
      </c>
      <c r="B183" s="61">
        <f>PowerStationData2023!B224</f>
        <v>41944</v>
      </c>
      <c r="C183" s="4">
        <f>PowerStationData2023!C224</f>
        <v>260074</v>
      </c>
      <c r="D183" s="4">
        <f>PowerStationData2023!D224</f>
        <v>13</v>
      </c>
      <c r="E183" s="52">
        <f>PowerStationData2023!E224</f>
        <v>0</v>
      </c>
    </row>
    <row r="184" spans="1:5" x14ac:dyDescent="0.3">
      <c r="A184" t="str">
        <f>PowerStationData2023!A225</f>
        <v>Red Cap Kouga Wind Farm</v>
      </c>
      <c r="B184" s="61">
        <f>PowerStationData2023!B225</f>
        <v>41735</v>
      </c>
      <c r="C184" s="4">
        <f>PowerStationData2023!C225</f>
        <v>290500</v>
      </c>
      <c r="D184" s="4">
        <f>PowerStationData2023!D225</f>
        <v>14</v>
      </c>
      <c r="E184" s="52">
        <f>PowerStationData2023!E225</f>
        <v>0</v>
      </c>
    </row>
    <row r="185" spans="1:5" x14ac:dyDescent="0.3">
      <c r="A185" t="str">
        <f>PowerStationData2023!A226</f>
        <v>Karoo Renewable Energy Facility (Nobelsfontein Solar PV)</v>
      </c>
      <c r="B185" s="61">
        <f>PowerStationData2023!B226</f>
        <v>41640</v>
      </c>
      <c r="C185" s="4">
        <f>PowerStationData2023!C226</f>
        <v>94527</v>
      </c>
      <c r="D185" s="4">
        <f>PowerStationData2023!D226</f>
        <v>16</v>
      </c>
      <c r="E185" s="52">
        <f>PowerStationData2023!E226</f>
        <v>0</v>
      </c>
    </row>
    <row r="186" spans="1:5" x14ac:dyDescent="0.3">
      <c r="A186" t="str">
        <f>PowerStationData2023!A227</f>
        <v>Karoo Renewable Energy Facility (Nobelsfontein Wind)</v>
      </c>
      <c r="B186" s="61">
        <f>PowerStationData2023!B227</f>
        <v>41640</v>
      </c>
      <c r="C186" s="4">
        <f>PowerStationData2023!C227</f>
        <v>878438</v>
      </c>
      <c r="D186" s="4">
        <f>PowerStationData2023!D227</f>
        <v>16</v>
      </c>
      <c r="E186" s="52">
        <f>PowerStationData2023!E227</f>
        <v>0</v>
      </c>
    </row>
    <row r="187" spans="1:5" x14ac:dyDescent="0.3">
      <c r="A187" t="str">
        <f>PowerStationData2023!A228</f>
        <v>Dassieklip Wind Energy Facility in South Africa</v>
      </c>
      <c r="B187" s="61">
        <f>PowerStationData2023!B228</f>
        <v>41640</v>
      </c>
      <c r="C187" s="4">
        <f>PowerStationData2023!C228</f>
        <v>74267</v>
      </c>
      <c r="D187" s="4">
        <f>PowerStationData2023!D228</f>
        <v>16</v>
      </c>
      <c r="E187" s="52">
        <f>PowerStationData2023!E228</f>
        <v>0</v>
      </c>
    </row>
    <row r="188" spans="1:5" x14ac:dyDescent="0.3">
      <c r="A188" t="str">
        <f>PowerStationData2023!A229</f>
        <v>South African Wind Power Projects</v>
      </c>
      <c r="B188" s="61">
        <f>PowerStationData2023!B229</f>
        <v>41640</v>
      </c>
      <c r="C188" s="4">
        <f>PowerStationData2023!C229</f>
        <v>93093</v>
      </c>
      <c r="D188" s="4">
        <f>PowerStationData2023!D229</f>
        <v>16</v>
      </c>
      <c r="E188" s="52">
        <f>PowerStationData2023!E229</f>
        <v>0</v>
      </c>
    </row>
    <row r="189" spans="1:5" x14ac:dyDescent="0.3">
      <c r="A189" t="str">
        <f>PowerStationData2023!A230</f>
        <v>Prieska Grid Connected 20 MW Solar Park, South Africa</v>
      </c>
      <c r="B189" s="61">
        <f>PowerStationData2023!B230</f>
        <v>41579</v>
      </c>
      <c r="C189" s="4">
        <f>PowerStationData2023!C230</f>
        <v>39483</v>
      </c>
      <c r="D189" s="4">
        <f>PowerStationData2023!D230</f>
        <v>20</v>
      </c>
      <c r="E189" s="52">
        <f>PowerStationData2023!E230</f>
        <v>0</v>
      </c>
    </row>
    <row r="190" spans="1:5" x14ac:dyDescent="0.3">
      <c r="A190" t="str">
        <f>PowerStationData2023!A231</f>
        <v>Bokpoort</v>
      </c>
      <c r="B190" s="61">
        <f>PowerStationData2023!B231</f>
        <v>41548</v>
      </c>
      <c r="C190" s="4">
        <f>PowerStationData2023!C231</f>
        <v>224000</v>
      </c>
      <c r="D190" s="4">
        <f>PowerStationData2023!D231</f>
        <v>21</v>
      </c>
      <c r="E190" s="52">
        <f>PowerStationData2023!E231</f>
        <v>0</v>
      </c>
    </row>
    <row r="191" spans="1:5" x14ac:dyDescent="0.3">
      <c r="A191" t="str">
        <f>PowerStationData2023!A232</f>
        <v>Hopefield wind energy facility in South Africa</v>
      </c>
      <c r="B191" s="61">
        <f>PowerStationData2023!B232</f>
        <v>41548</v>
      </c>
      <c r="C191" s="4">
        <f>PowerStationData2023!C232</f>
        <v>188500</v>
      </c>
      <c r="D191" s="4">
        <f>PowerStationData2023!D232</f>
        <v>21</v>
      </c>
      <c r="E191" s="52">
        <f>PowerStationData2023!E232</f>
        <v>0</v>
      </c>
    </row>
    <row r="192" spans="1:5" x14ac:dyDescent="0.3">
      <c r="A192" t="str">
        <f>PowerStationData2023!A233</f>
        <v>Southern African Renewable Energy (SARE) Programme</v>
      </c>
      <c r="B192" s="61">
        <f>PowerStationData2023!B233</f>
        <v>41467</v>
      </c>
      <c r="C192" s="4">
        <f>PowerStationData2023!C233</f>
        <v>54785</v>
      </c>
      <c r="D192" s="4">
        <f>PowerStationData2023!D233</f>
        <v>23</v>
      </c>
      <c r="E192" s="52">
        <f>PowerStationData2023!E233</f>
        <v>0</v>
      </c>
    </row>
    <row r="193" spans="1:5" x14ac:dyDescent="0.3">
      <c r="A193" t="str">
        <f>PowerStationData2023!A234</f>
        <v>Wind and solar PoA in South Africa</v>
      </c>
      <c r="B193" s="61">
        <f>PowerStationData2023!B234</f>
        <v>41456</v>
      </c>
      <c r="C193" s="4">
        <f>PowerStationData2023!C234</f>
        <v>18000</v>
      </c>
      <c r="D193" s="4">
        <f>PowerStationData2023!D234</f>
        <v>24</v>
      </c>
      <c r="E193" s="52">
        <f>PowerStationData2023!E234</f>
        <v>0</v>
      </c>
    </row>
    <row r="194" spans="1:5" x14ac:dyDescent="0.3">
      <c r="A194" t="str">
        <f>PowerStationData2023!A235</f>
        <v>Coega IDZ Windfarm</v>
      </c>
      <c r="B194" s="61">
        <f>PowerStationData2023!B235</f>
        <v>40330</v>
      </c>
      <c r="C194" s="4">
        <f>PowerStationData2023!C235</f>
        <v>5500</v>
      </c>
      <c r="D194" s="4">
        <f>PowerStationData2023!D235</f>
        <v>26</v>
      </c>
      <c r="E194" s="52">
        <f>PowerStationData2023!E235</f>
        <v>0</v>
      </c>
    </row>
    <row r="196" spans="1:5" x14ac:dyDescent="0.3">
      <c r="A196" t="s">
        <v>187</v>
      </c>
      <c r="C196" s="5">
        <f>SUM(C167:C194)</f>
        <v>39206974.799999997</v>
      </c>
    </row>
    <row r="197" spans="1:5" x14ac:dyDescent="0.3">
      <c r="A197" t="s">
        <v>189</v>
      </c>
      <c r="C197" s="57">
        <f>C196/SUM($E$12:$E$14)</f>
        <v>0.18807725151149635</v>
      </c>
    </row>
    <row r="199" spans="1:5" x14ac:dyDescent="0.3">
      <c r="A199" t="s">
        <v>224</v>
      </c>
    </row>
    <row r="201" spans="1:5" x14ac:dyDescent="0.3">
      <c r="A201" t="s">
        <v>181</v>
      </c>
      <c r="B201" t="s">
        <v>190</v>
      </c>
      <c r="C201" t="s">
        <v>99</v>
      </c>
      <c r="D201" t="s">
        <v>184</v>
      </c>
      <c r="E201" t="s">
        <v>193</v>
      </c>
    </row>
    <row r="202" spans="1:5" x14ac:dyDescent="0.3">
      <c r="A202" t="s">
        <v>61</v>
      </c>
      <c r="B202" s="61">
        <v>42238</v>
      </c>
      <c r="C202" s="4">
        <v>23246212</v>
      </c>
      <c r="D202" s="4">
        <v>2</v>
      </c>
      <c r="E202" s="52">
        <v>0.89196592982224709</v>
      </c>
    </row>
    <row r="203" spans="1:5" x14ac:dyDescent="0.3">
      <c r="A203" t="s">
        <v>62</v>
      </c>
      <c r="B203" s="61">
        <v>42977</v>
      </c>
      <c r="C203" s="4">
        <v>9119476</v>
      </c>
      <c r="D203" s="4">
        <v>1</v>
      </c>
      <c r="E203" s="52">
        <v>1.0239906159995815</v>
      </c>
    </row>
    <row r="204" spans="1:5" x14ac:dyDescent="0.3">
      <c r="A204" t="str">
        <f>PowerStationData2023!A210</f>
        <v>Green Power for South Africa</v>
      </c>
      <c r="B204" s="61">
        <f>PowerStationData2023!B210</f>
        <v>41425</v>
      </c>
      <c r="C204" s="4">
        <f>PowerStationData2023!C210</f>
        <v>1219826</v>
      </c>
      <c r="D204" s="4">
        <f>PowerStationData2023!D210</f>
        <v>25</v>
      </c>
      <c r="E204" s="52">
        <f>PowerStationData2023!E210</f>
        <v>0</v>
      </c>
    </row>
    <row r="205" spans="1:5" x14ac:dyDescent="0.3">
      <c r="A205" t="str">
        <f>PowerStationData2023!A211</f>
        <v>South African Grid Connected Wind Farm Programme</v>
      </c>
      <c r="B205" s="61">
        <f>PowerStationData2023!B211</f>
        <v>41730</v>
      </c>
      <c r="C205" s="4">
        <f>PowerStationData2023!C211</f>
        <v>318056</v>
      </c>
      <c r="D205" s="4">
        <f>PowerStationData2023!D211</f>
        <v>15</v>
      </c>
      <c r="E205" s="52">
        <f>PowerStationData2023!E211</f>
        <v>0</v>
      </c>
    </row>
    <row r="206" spans="1:5" x14ac:dyDescent="0.3">
      <c r="A206" t="str">
        <f>PowerStationData2023!A212</f>
        <v>TWE Golden Valley Wind Power Project</v>
      </c>
      <c r="B206" s="61">
        <f>PowerStationData2023!B212</f>
        <v>44317</v>
      </c>
      <c r="C206" s="4">
        <f>PowerStationData2023!C212</f>
        <v>509303</v>
      </c>
      <c r="D206" s="4">
        <f>PowerStationData2023!D212</f>
        <v>1</v>
      </c>
      <c r="E206" s="52">
        <f>PowerStationData2023!E212</f>
        <v>0</v>
      </c>
    </row>
    <row r="207" spans="1:5" x14ac:dyDescent="0.3">
      <c r="A207" t="str">
        <f>PowerStationData2023!A213</f>
        <v>GS11949 Small-scale solar electrical programme, South Africa</v>
      </c>
      <c r="B207" s="61">
        <f>PowerStationData2023!B213</f>
        <v>44181</v>
      </c>
      <c r="C207" s="4">
        <f>PowerStationData2023!C213</f>
        <v>22500</v>
      </c>
      <c r="D207" s="4">
        <f>PowerStationData2023!D213</f>
        <v>2</v>
      </c>
      <c r="E207" s="52">
        <f>PowerStationData2023!E213</f>
        <v>0</v>
      </c>
    </row>
    <row r="208" spans="1:5" x14ac:dyDescent="0.3">
      <c r="A208" t="str">
        <f>PowerStationData2023!A214</f>
        <v>Solar Energy Programme for South Africa</v>
      </c>
      <c r="B208" s="61">
        <f>PowerStationData2023!B214</f>
        <v>43497</v>
      </c>
      <c r="C208" s="4">
        <f>PowerStationData2023!C214</f>
        <v>381930</v>
      </c>
      <c r="D208" s="4">
        <f>PowerStationData2023!D214</f>
        <v>3</v>
      </c>
      <c r="E208" s="52">
        <f>PowerStationData2023!E214</f>
        <v>0</v>
      </c>
    </row>
    <row r="209" spans="1:5" x14ac:dyDescent="0.3">
      <c r="A209" t="str">
        <f>PowerStationData2023!A215</f>
        <v>LONGYUAN MULILO DE AAR MAANHAARBERG WIND ENERGY FACILITY</v>
      </c>
      <c r="B209" s="61">
        <f>PowerStationData2023!B215</f>
        <v>43039</v>
      </c>
      <c r="C209" s="4">
        <f>PowerStationData2023!C215</f>
        <v>290500</v>
      </c>
      <c r="D209" s="4">
        <f>PowerStationData2023!D215</f>
        <v>4</v>
      </c>
      <c r="E209" s="52">
        <f>PowerStationData2023!E215</f>
        <v>0</v>
      </c>
    </row>
    <row r="210" spans="1:5" x14ac:dyDescent="0.3">
      <c r="A210" t="str">
        <f>PowerStationData2023!A216</f>
        <v>LONGYUAN MULILO DE AAR 2 NORTH WIND ENERGY FACILITY</v>
      </c>
      <c r="B210" s="61">
        <f>PowerStationData2023!B216</f>
        <v>43039</v>
      </c>
      <c r="C210" s="4">
        <f>PowerStationData2023!C216</f>
        <v>439600</v>
      </c>
      <c r="D210" s="4">
        <f>PowerStationData2023!D216</f>
        <v>4</v>
      </c>
      <c r="E210" s="52">
        <f>PowerStationData2023!E216</f>
        <v>0</v>
      </c>
    </row>
    <row r="211" spans="1:5" x14ac:dyDescent="0.3">
      <c r="A211" t="str">
        <f>PowerStationData2023!A217</f>
        <v>Amakhala Emoyeni Grid Connected 138.6 MW Wind Farm, Phase 1, South Africa</v>
      </c>
      <c r="B211" s="61">
        <f>PowerStationData2023!B217</f>
        <v>42536</v>
      </c>
      <c r="C211" s="4">
        <f>PowerStationData2023!C217</f>
        <v>450559</v>
      </c>
      <c r="D211" s="4">
        <f>PowerStationData2023!D217</f>
        <v>6</v>
      </c>
      <c r="E211" s="52">
        <f>PowerStationData2023!E217</f>
        <v>0</v>
      </c>
    </row>
    <row r="212" spans="1:5" x14ac:dyDescent="0.3">
      <c r="A212" t="str">
        <f>PowerStationData2023!A218</f>
        <v>South Africa Wind Energy</v>
      </c>
      <c r="B212" s="61">
        <f>PowerStationData2023!B218</f>
        <v>42370</v>
      </c>
      <c r="C212" s="4">
        <f>PowerStationData2023!C218</f>
        <v>94870.8</v>
      </c>
      <c r="D212" s="4">
        <f>PowerStationData2023!D218</f>
        <v>7</v>
      </c>
      <c r="E212" s="52">
        <f>PowerStationData2023!E218</f>
        <v>0</v>
      </c>
    </row>
    <row r="213" spans="1:5" x14ac:dyDescent="0.3">
      <c r="A213" t="str">
        <f>PowerStationData2023!A219</f>
        <v>West Coast 1 Wind Farm in South Africa</v>
      </c>
      <c r="B213" s="61">
        <f>PowerStationData2023!B219</f>
        <v>42095</v>
      </c>
      <c r="C213" s="4">
        <f>PowerStationData2023!C219</f>
        <v>293400</v>
      </c>
      <c r="D213" s="4">
        <f>PowerStationData2023!D219</f>
        <v>8</v>
      </c>
      <c r="E213" s="52">
        <f>PowerStationData2023!E219</f>
        <v>0</v>
      </c>
    </row>
    <row r="214" spans="1:5" x14ac:dyDescent="0.3">
      <c r="A214" t="str">
        <f>PowerStationData2023!A220</f>
        <v>Renewable Energy Carbon Programme for Africa (RECPA)</v>
      </c>
      <c r="B214" s="61">
        <f>PowerStationData2023!B220</f>
        <v>42064</v>
      </c>
      <c r="C214" s="4">
        <f>PowerStationData2023!C220</f>
        <v>140180</v>
      </c>
      <c r="D214" s="4">
        <f>PowerStationData2023!D220</f>
        <v>9</v>
      </c>
      <c r="E214" s="52">
        <f>PowerStationData2023!E220</f>
        <v>0</v>
      </c>
    </row>
    <row r="215" spans="1:5" x14ac:dyDescent="0.3">
      <c r="A215" t="str">
        <f>PowerStationData2023!A221</f>
        <v>Grid Connected Photovoltaic (PV) Renewable Electricity Generating Facilities PoA</v>
      </c>
      <c r="B215" s="61">
        <f>PowerStationData2023!B221</f>
        <v>42013</v>
      </c>
      <c r="C215" s="4">
        <f>PowerStationData2023!C221</f>
        <v>20500</v>
      </c>
      <c r="D215" s="4">
        <f>PowerStationData2023!D221</f>
        <v>10</v>
      </c>
      <c r="E215" s="52">
        <f>PowerStationData2023!E221</f>
        <v>0</v>
      </c>
    </row>
    <row r="216" spans="1:5" x14ac:dyDescent="0.3">
      <c r="A216" t="str">
        <f>PowerStationData2023!A222</f>
        <v>South African Large Scale Grid Connected Solar Park Programme</v>
      </c>
      <c r="B216" s="61">
        <f>PowerStationData2023!B222</f>
        <v>42005</v>
      </c>
      <c r="C216" s="4">
        <f>PowerStationData2023!C222</f>
        <v>66395</v>
      </c>
      <c r="D216" s="4">
        <f>PowerStationData2023!D222</f>
        <v>11</v>
      </c>
      <c r="E216" s="52">
        <f>PowerStationData2023!E222</f>
        <v>0</v>
      </c>
    </row>
    <row r="217" spans="1:5" x14ac:dyDescent="0.3">
      <c r="A217" t="str">
        <f>PowerStationData2023!A223</f>
        <v>Cookhouse Wind Farm in South Africa</v>
      </c>
      <c r="B217" s="61">
        <f>PowerStationData2023!B223</f>
        <v>41962</v>
      </c>
      <c r="C217" s="4">
        <f>PowerStationData2023!C223</f>
        <v>372500</v>
      </c>
      <c r="D217" s="4">
        <f>PowerStationData2023!D223</f>
        <v>12</v>
      </c>
      <c r="E217" s="52">
        <f>PowerStationData2023!E223</f>
        <v>0</v>
      </c>
    </row>
    <row r="218" spans="1:5" x14ac:dyDescent="0.3">
      <c r="A218" t="str">
        <f>PowerStationData2023!A224</f>
        <v>Kathu Grid Connected 100 MW Solar Park, South Africa</v>
      </c>
      <c r="B218" s="61">
        <f>PowerStationData2023!B224</f>
        <v>41944</v>
      </c>
      <c r="C218" s="4">
        <f>PowerStationData2023!C224</f>
        <v>260074</v>
      </c>
      <c r="D218" s="4">
        <f>PowerStationData2023!D224</f>
        <v>13</v>
      </c>
      <c r="E218" s="52">
        <f>PowerStationData2023!E224</f>
        <v>0</v>
      </c>
    </row>
    <row r="219" spans="1:5" x14ac:dyDescent="0.3">
      <c r="A219" t="str">
        <f>PowerStationData2023!A225</f>
        <v>Red Cap Kouga Wind Farm</v>
      </c>
      <c r="B219" s="61">
        <f>PowerStationData2023!B225</f>
        <v>41735</v>
      </c>
      <c r="C219" s="4">
        <f>PowerStationData2023!C225</f>
        <v>290500</v>
      </c>
      <c r="D219" s="4">
        <f>PowerStationData2023!D225</f>
        <v>14</v>
      </c>
      <c r="E219" s="52">
        <f>PowerStationData2023!E225</f>
        <v>0</v>
      </c>
    </row>
    <row r="220" spans="1:5" x14ac:dyDescent="0.3">
      <c r="A220" t="str">
        <f>PowerStationData2023!A226</f>
        <v>Karoo Renewable Energy Facility (Nobelsfontein Solar PV)</v>
      </c>
      <c r="B220" s="61">
        <f>PowerStationData2023!B226</f>
        <v>41640</v>
      </c>
      <c r="C220" s="4">
        <f>PowerStationData2023!C226</f>
        <v>94527</v>
      </c>
      <c r="D220" s="4">
        <f>PowerStationData2023!D226</f>
        <v>16</v>
      </c>
      <c r="E220" s="52">
        <f>PowerStationData2023!E226</f>
        <v>0</v>
      </c>
    </row>
    <row r="221" spans="1:5" x14ac:dyDescent="0.3">
      <c r="A221" t="str">
        <f>PowerStationData2023!A227</f>
        <v>Karoo Renewable Energy Facility (Nobelsfontein Wind)</v>
      </c>
      <c r="B221" s="61">
        <f>PowerStationData2023!B227</f>
        <v>41640</v>
      </c>
      <c r="C221" s="4">
        <f>PowerStationData2023!C227</f>
        <v>878438</v>
      </c>
      <c r="D221" s="4">
        <f>PowerStationData2023!D227</f>
        <v>16</v>
      </c>
      <c r="E221" s="52">
        <f>PowerStationData2023!E227</f>
        <v>0</v>
      </c>
    </row>
    <row r="222" spans="1:5" x14ac:dyDescent="0.3">
      <c r="A222" t="str">
        <f>PowerStationData2023!A228</f>
        <v>Dassieklip Wind Energy Facility in South Africa</v>
      </c>
      <c r="B222" s="61">
        <f>PowerStationData2023!B228</f>
        <v>41640</v>
      </c>
      <c r="C222" s="4">
        <f>PowerStationData2023!C228</f>
        <v>74267</v>
      </c>
      <c r="D222" s="4">
        <f>PowerStationData2023!D228</f>
        <v>16</v>
      </c>
      <c r="E222" s="52">
        <f>PowerStationData2023!E228</f>
        <v>0</v>
      </c>
    </row>
    <row r="223" spans="1:5" x14ac:dyDescent="0.3">
      <c r="A223" t="str">
        <f>PowerStationData2023!A229</f>
        <v>South African Wind Power Projects</v>
      </c>
      <c r="B223" s="61">
        <f>PowerStationData2023!B229</f>
        <v>41640</v>
      </c>
      <c r="C223" s="4">
        <f>PowerStationData2023!C229</f>
        <v>93093</v>
      </c>
      <c r="D223" s="4">
        <f>PowerStationData2023!D229</f>
        <v>16</v>
      </c>
      <c r="E223" s="52">
        <f>PowerStationData2023!E229</f>
        <v>0</v>
      </c>
    </row>
    <row r="224" spans="1:5" x14ac:dyDescent="0.3">
      <c r="A224" t="str">
        <f>PowerStationData2023!A230</f>
        <v>Prieska Grid Connected 20 MW Solar Park, South Africa</v>
      </c>
      <c r="B224" s="61">
        <f>PowerStationData2023!B230</f>
        <v>41579</v>
      </c>
      <c r="C224" s="4">
        <f>PowerStationData2023!C230</f>
        <v>39483</v>
      </c>
      <c r="D224" s="4">
        <f>PowerStationData2023!D230</f>
        <v>20</v>
      </c>
      <c r="E224" s="52">
        <f>PowerStationData2023!E230</f>
        <v>0</v>
      </c>
    </row>
    <row r="225" spans="1:5" x14ac:dyDescent="0.3">
      <c r="A225" t="str">
        <f>PowerStationData2023!A231</f>
        <v>Bokpoort</v>
      </c>
      <c r="B225" s="61">
        <f>PowerStationData2023!B231</f>
        <v>41548</v>
      </c>
      <c r="C225" s="4">
        <f>PowerStationData2023!C231</f>
        <v>224000</v>
      </c>
      <c r="D225" s="4">
        <f>PowerStationData2023!D231</f>
        <v>21</v>
      </c>
      <c r="E225" s="52">
        <f>PowerStationData2023!E231</f>
        <v>0</v>
      </c>
    </row>
    <row r="226" spans="1:5" x14ac:dyDescent="0.3">
      <c r="A226" t="str">
        <f>PowerStationData2023!A232</f>
        <v>Hopefield wind energy facility in South Africa</v>
      </c>
      <c r="B226" s="61">
        <f>PowerStationData2023!B232</f>
        <v>41548</v>
      </c>
      <c r="C226" s="4">
        <f>PowerStationData2023!C232</f>
        <v>188500</v>
      </c>
      <c r="D226" s="4">
        <f>PowerStationData2023!D232</f>
        <v>21</v>
      </c>
      <c r="E226" s="52">
        <f>PowerStationData2023!E232</f>
        <v>0</v>
      </c>
    </row>
    <row r="227" spans="1:5" x14ac:dyDescent="0.3">
      <c r="A227" t="str">
        <f>PowerStationData2023!A233</f>
        <v>Southern African Renewable Energy (SARE) Programme</v>
      </c>
      <c r="B227" s="61">
        <f>PowerStationData2023!B233</f>
        <v>41467</v>
      </c>
      <c r="C227" s="4">
        <f>PowerStationData2023!C233</f>
        <v>54785</v>
      </c>
      <c r="D227" s="4">
        <f>PowerStationData2023!D233</f>
        <v>23</v>
      </c>
      <c r="E227" s="52">
        <f>PowerStationData2023!E233</f>
        <v>0</v>
      </c>
    </row>
    <row r="228" spans="1:5" x14ac:dyDescent="0.3">
      <c r="A228" t="str">
        <f>PowerStationData2023!A234</f>
        <v>Wind and solar PoA in South Africa</v>
      </c>
      <c r="B228" s="61">
        <f>PowerStationData2023!B234</f>
        <v>41456</v>
      </c>
      <c r="C228" s="4">
        <f>PowerStationData2023!C234</f>
        <v>18000</v>
      </c>
      <c r="D228" s="4">
        <f>PowerStationData2023!D234</f>
        <v>24</v>
      </c>
      <c r="E228" s="52">
        <f>PowerStationData2023!E234</f>
        <v>0</v>
      </c>
    </row>
    <row r="229" spans="1:5" x14ac:dyDescent="0.3">
      <c r="A229" t="str">
        <f>PowerStationData2023!A235</f>
        <v>Coega IDZ Windfarm</v>
      </c>
      <c r="B229" s="61">
        <f>PowerStationData2023!B235</f>
        <v>40330</v>
      </c>
      <c r="C229" s="4">
        <f>PowerStationData2023!C235</f>
        <v>5500</v>
      </c>
      <c r="D229" s="4">
        <f>PowerStationData2023!D235</f>
        <v>26</v>
      </c>
      <c r="E229" s="52">
        <f>PowerStationData2023!E235</f>
        <v>0</v>
      </c>
    </row>
    <row r="230" spans="1:5" x14ac:dyDescent="0.3">
      <c r="A230" t="str">
        <f>PowerStationData2023!A200</f>
        <v>Gourikwa</v>
      </c>
      <c r="B230" s="61">
        <f>PowerStationData2023!B200</f>
        <v>39264</v>
      </c>
      <c r="C230" s="4">
        <f>PowerStationData2023!C200</f>
        <v>1681217</v>
      </c>
      <c r="D230" s="4">
        <f>PowerStationData2023!D200</f>
        <v>3</v>
      </c>
      <c r="E230" s="52">
        <f>PowerStationData2023!E200</f>
        <v>0.80662909836835439</v>
      </c>
    </row>
    <row r="231" spans="1:5" x14ac:dyDescent="0.3">
      <c r="A231" t="str">
        <f>PowerStationData2023!A199</f>
        <v>Ankerlig</v>
      </c>
      <c r="B231" s="61">
        <f>PowerStationData2023!B199</f>
        <v>39142</v>
      </c>
      <c r="C231" s="4">
        <f>PowerStationData2023!C199</f>
        <v>1332491</v>
      </c>
      <c r="D231" s="4">
        <f>PowerStationData2023!D199</f>
        <v>4</v>
      </c>
      <c r="E231" s="52">
        <f>PowerStationData2023!E199</f>
        <v>0.82640342984294057</v>
      </c>
    </row>
    <row r="233" spans="1:5" x14ac:dyDescent="0.3">
      <c r="A233" t="s">
        <v>187</v>
      </c>
      <c r="C233" s="5">
        <f>SUM(C202:C232)</f>
        <v>42220682.799999997</v>
      </c>
    </row>
    <row r="234" spans="1:5" x14ac:dyDescent="0.3">
      <c r="A234" t="s">
        <v>189</v>
      </c>
      <c r="C234" s="57">
        <f>C233/SUM($E$12:$E$14)</f>
        <v>0.20253411589314227</v>
      </c>
    </row>
    <row r="236" spans="1:5" x14ac:dyDescent="0.3">
      <c r="A236" t="s">
        <v>192</v>
      </c>
      <c r="B236" s="69">
        <f>SUMPRODUCT(C202:C231,E202:E231)/SUM(C202:C231)</f>
        <v>0.77048447529524278</v>
      </c>
      <c r="C236" t="s">
        <v>81</v>
      </c>
    </row>
    <row r="238" spans="1:5" x14ac:dyDescent="0.3">
      <c r="A238" s="51" t="s">
        <v>225</v>
      </c>
    </row>
    <row r="240" spans="1:5" x14ac:dyDescent="0.3">
      <c r="A240" s="51" t="s">
        <v>226</v>
      </c>
    </row>
    <row r="241" spans="1:7" x14ac:dyDescent="0.3">
      <c r="A241" s="65"/>
      <c r="B241" s="103" t="s">
        <v>197</v>
      </c>
      <c r="C241" s="103"/>
      <c r="D241" s="106" t="s">
        <v>202</v>
      </c>
      <c r="E241" s="107"/>
      <c r="F241" s="103" t="s">
        <v>203</v>
      </c>
      <c r="G241" s="103"/>
    </row>
    <row r="242" spans="1:7" x14ac:dyDescent="0.3">
      <c r="A242" s="65"/>
      <c r="B242" s="65" t="s">
        <v>198</v>
      </c>
      <c r="C242" s="65" t="s">
        <v>199</v>
      </c>
      <c r="D242" s="65" t="s">
        <v>198</v>
      </c>
      <c r="E242" s="65" t="s">
        <v>199</v>
      </c>
      <c r="F242" s="65" t="s">
        <v>198</v>
      </c>
      <c r="G242" s="65" t="s">
        <v>199</v>
      </c>
    </row>
    <row r="243" spans="1:7" x14ac:dyDescent="0.3">
      <c r="A243" s="65" t="s">
        <v>200</v>
      </c>
      <c r="B243" s="65">
        <v>0.75</v>
      </c>
      <c r="C243" s="65">
        <v>0.25</v>
      </c>
      <c r="D243" s="65">
        <v>0.75</v>
      </c>
      <c r="E243" s="65">
        <v>0.25</v>
      </c>
      <c r="F243" s="65">
        <v>0.75</v>
      </c>
      <c r="G243" s="65">
        <v>0.25</v>
      </c>
    </row>
    <row r="244" spans="1:7" x14ac:dyDescent="0.3">
      <c r="A244" s="65" t="s">
        <v>201</v>
      </c>
      <c r="B244" s="65">
        <v>0.5</v>
      </c>
      <c r="C244" s="65">
        <v>0.5</v>
      </c>
      <c r="D244" s="65">
        <v>0.25</v>
      </c>
      <c r="E244" s="65">
        <v>0.75</v>
      </c>
      <c r="F244" s="65">
        <v>0.25</v>
      </c>
      <c r="G244" s="65">
        <v>0.75</v>
      </c>
    </row>
    <row r="246" spans="1:7" x14ac:dyDescent="0.3">
      <c r="A246" s="51" t="s">
        <v>227</v>
      </c>
    </row>
    <row r="248" spans="1:7" x14ac:dyDescent="0.3">
      <c r="A248" t="s">
        <v>74</v>
      </c>
    </row>
    <row r="249" spans="1:7" x14ac:dyDescent="0.3">
      <c r="A249" s="65"/>
      <c r="B249" s="65" t="s">
        <v>197</v>
      </c>
      <c r="C249" s="65" t="s">
        <v>202</v>
      </c>
      <c r="D249" s="65" t="s">
        <v>203</v>
      </c>
    </row>
    <row r="250" spans="1:7" x14ac:dyDescent="0.3">
      <c r="A250" s="65"/>
      <c r="B250" s="65" t="s">
        <v>198</v>
      </c>
      <c r="C250" s="65" t="s">
        <v>198</v>
      </c>
      <c r="D250" s="65" t="s">
        <v>206</v>
      </c>
    </row>
    <row r="251" spans="1:7" x14ac:dyDescent="0.3">
      <c r="A251" s="65" t="s">
        <v>200</v>
      </c>
      <c r="B251" s="66">
        <f>$B$129*B243+$B$236*C243</f>
        <v>1.0198711188238108</v>
      </c>
      <c r="C251" s="66">
        <f>$B$129*D243+$B$236*E243</f>
        <v>1.0198711188238108</v>
      </c>
      <c r="D251" s="66">
        <f>$B$129*F243+$B$236*G243</f>
        <v>1.0198711188238108</v>
      </c>
    </row>
    <row r="252" spans="1:7" x14ac:dyDescent="0.3">
      <c r="A252" s="65" t="s">
        <v>201</v>
      </c>
      <c r="B252" s="66">
        <f>$B$129*B244+$B$236*C244</f>
        <v>0.93674223764762132</v>
      </c>
      <c r="C252" s="66">
        <f>$B$129*D244+$B$236*E244</f>
        <v>0.85361335647143211</v>
      </c>
      <c r="D252" s="66">
        <f>$B$129*F244+$B$236*G244</f>
        <v>0.85361335647143211</v>
      </c>
    </row>
    <row r="254" spans="1:7" x14ac:dyDescent="0.3">
      <c r="A254" t="s">
        <v>75</v>
      </c>
    </row>
    <row r="255" spans="1:7" x14ac:dyDescent="0.3">
      <c r="A255" s="65"/>
      <c r="B255" s="65" t="s">
        <v>197</v>
      </c>
      <c r="C255" s="65" t="s">
        <v>202</v>
      </c>
      <c r="D255" s="65" t="s">
        <v>203</v>
      </c>
    </row>
    <row r="256" spans="1:7" x14ac:dyDescent="0.3">
      <c r="A256" s="65"/>
      <c r="B256" s="65" t="s">
        <v>198</v>
      </c>
      <c r="C256" s="65" t="s">
        <v>198</v>
      </c>
      <c r="D256" s="65" t="s">
        <v>206</v>
      </c>
    </row>
    <row r="257" spans="1:4" x14ac:dyDescent="0.3">
      <c r="A257" s="65" t="s">
        <v>200</v>
      </c>
      <c r="B257" s="66">
        <f>$B$130*B243+$B$236*C243</f>
        <v>1.0211461188238107</v>
      </c>
      <c r="C257" s="66">
        <f>$B$130*D243+$B$236*E243</f>
        <v>1.0211461188238107</v>
      </c>
      <c r="D257" s="66">
        <f>$B$130*F243+$B$236*G243</f>
        <v>1.0211461188238107</v>
      </c>
    </row>
    <row r="258" spans="1:4" x14ac:dyDescent="0.3">
      <c r="A258" s="65" t="s">
        <v>201</v>
      </c>
      <c r="B258" s="66">
        <f>$B$130*B244+$B$236*C244</f>
        <v>0.93759223764762134</v>
      </c>
      <c r="C258" s="66">
        <f>$B$130*D244+$B$236*E244</f>
        <v>0.854038356471432</v>
      </c>
      <c r="D258" s="66">
        <f>$B$130*F244+$B$236*G244</f>
        <v>0.854038356471432</v>
      </c>
    </row>
  </sheetData>
  <mergeCells count="11">
    <mergeCell ref="A13:B13"/>
    <mergeCell ref="A5:E5"/>
    <mergeCell ref="B241:C241"/>
    <mergeCell ref="D241:E241"/>
    <mergeCell ref="F241:G241"/>
    <mergeCell ref="B110:C110"/>
    <mergeCell ref="D110:E110"/>
    <mergeCell ref="F110:G110"/>
    <mergeCell ref="B96:C96"/>
    <mergeCell ref="D96:E96"/>
    <mergeCell ref="F96:G96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A16FC-C410-4909-86F2-073138E9C0AC}">
  <dimension ref="A1:V235"/>
  <sheetViews>
    <sheetView zoomScale="85" zoomScaleNormal="85" workbookViewId="0">
      <selection activeCell="L16" sqref="L16"/>
    </sheetView>
  </sheetViews>
  <sheetFormatPr defaultColWidth="8.88671875" defaultRowHeight="13.2" x14ac:dyDescent="0.25"/>
  <cols>
    <col min="1" max="1" width="71.44140625" style="34" bestFit="1" customWidth="1"/>
    <col min="2" max="2" width="13.33203125" style="34" bestFit="1" customWidth="1"/>
    <col min="3" max="3" width="15.88671875" style="34" bestFit="1" customWidth="1"/>
    <col min="4" max="4" width="14.33203125" style="34" bestFit="1" customWidth="1"/>
    <col min="5" max="5" width="8.44140625" style="34" bestFit="1" customWidth="1"/>
    <col min="6" max="6" width="11.5546875" style="34" customWidth="1"/>
    <col min="7" max="7" width="15.88671875" style="34" bestFit="1" customWidth="1"/>
    <col min="8" max="8" width="9" style="34" bestFit="1" customWidth="1"/>
    <col min="9" max="13" width="9.6640625" style="34" bestFit="1" customWidth="1"/>
    <col min="14" max="14" width="9" style="34" bestFit="1" customWidth="1"/>
    <col min="15" max="15" width="9.33203125" style="34" bestFit="1" customWidth="1"/>
    <col min="16" max="16" width="9.6640625" style="34" bestFit="1" customWidth="1"/>
    <col min="17" max="17" width="10.6640625" style="34" bestFit="1" customWidth="1"/>
    <col min="18" max="20" width="9.6640625" style="34" bestFit="1" customWidth="1"/>
    <col min="21" max="21" width="10.88671875" style="34" customWidth="1"/>
    <col min="22" max="22" width="9.6640625" style="34" customWidth="1"/>
    <col min="23" max="16384" width="8.88671875" style="34"/>
  </cols>
  <sheetData>
    <row r="1" spans="1:22" x14ac:dyDescent="0.25">
      <c r="A1" s="53" t="s">
        <v>99</v>
      </c>
    </row>
    <row r="2" spans="1:22" x14ac:dyDescent="0.25">
      <c r="A2" s="23" t="s">
        <v>64</v>
      </c>
      <c r="B2" s="23" t="s">
        <v>63</v>
      </c>
      <c r="C2" s="23" t="s">
        <v>42</v>
      </c>
      <c r="D2" s="23" t="s">
        <v>26</v>
      </c>
      <c r="E2" s="23" t="s">
        <v>27</v>
      </c>
      <c r="F2" s="23" t="s">
        <v>28</v>
      </c>
      <c r="G2" s="23" t="s">
        <v>29</v>
      </c>
      <c r="H2" s="23" t="s">
        <v>30</v>
      </c>
      <c r="I2" s="23" t="s">
        <v>31</v>
      </c>
      <c r="J2" s="23" t="s">
        <v>32</v>
      </c>
      <c r="K2" s="23" t="s">
        <v>33</v>
      </c>
      <c r="L2" s="23" t="s">
        <v>34</v>
      </c>
      <c r="M2" s="23" t="s">
        <v>35</v>
      </c>
      <c r="N2" s="23" t="s">
        <v>36</v>
      </c>
      <c r="O2" s="23" t="s">
        <v>37</v>
      </c>
      <c r="P2" s="23" t="s">
        <v>38</v>
      </c>
      <c r="Q2" s="23" t="s">
        <v>39</v>
      </c>
      <c r="R2" s="23" t="s">
        <v>40</v>
      </c>
      <c r="S2" s="23" t="s">
        <v>41</v>
      </c>
      <c r="U2" s="34" t="s">
        <v>74</v>
      </c>
      <c r="V2" s="34" t="s">
        <v>75</v>
      </c>
    </row>
    <row r="3" spans="1:22" x14ac:dyDescent="0.25">
      <c r="A3" s="24" t="s">
        <v>43</v>
      </c>
      <c r="B3" s="25">
        <v>1098</v>
      </c>
      <c r="C3" s="26">
        <v>25700</v>
      </c>
      <c r="D3" s="27">
        <v>25700</v>
      </c>
      <c r="E3" s="28">
        <f>YEAR(D3)</f>
        <v>1970</v>
      </c>
      <c r="F3" s="29" t="s">
        <v>44</v>
      </c>
      <c r="G3" s="30">
        <v>11938206</v>
      </c>
      <c r="H3" s="30">
        <v>11412357</v>
      </c>
      <c r="I3" s="30">
        <v>9489357</v>
      </c>
      <c r="J3" s="30">
        <v>8861776</v>
      </c>
      <c r="K3" s="30">
        <v>10079833</v>
      </c>
      <c r="L3" s="31">
        <v>8172225</v>
      </c>
      <c r="M3" s="30">
        <v>8919238</v>
      </c>
      <c r="N3" s="30">
        <v>7667408</v>
      </c>
      <c r="O3" s="30">
        <v>7355513</v>
      </c>
      <c r="P3" s="30">
        <v>4785111</v>
      </c>
      <c r="Q3" s="30">
        <v>4873506</v>
      </c>
      <c r="R3" s="30">
        <v>4738179</v>
      </c>
      <c r="S3" s="30">
        <v>2136620</v>
      </c>
      <c r="U3" s="47">
        <f>AVERAGE(Q3:S3)</f>
        <v>3916101.6666666665</v>
      </c>
      <c r="V3" s="47">
        <f>S3</f>
        <v>2136620</v>
      </c>
    </row>
    <row r="4" spans="1:22" x14ac:dyDescent="0.25">
      <c r="A4" s="24" t="s">
        <v>45</v>
      </c>
      <c r="B4" s="25">
        <v>2100</v>
      </c>
      <c r="C4" s="26">
        <v>26197</v>
      </c>
      <c r="D4" s="27">
        <v>26197</v>
      </c>
      <c r="E4" s="28">
        <f t="shared" ref="E4:E22" si="0">YEAR(D4)</f>
        <v>1971</v>
      </c>
      <c r="F4" s="29" t="s">
        <v>44</v>
      </c>
      <c r="G4" s="30">
        <v>12194878</v>
      </c>
      <c r="H4" s="30">
        <v>12229098</v>
      </c>
      <c r="I4" s="30">
        <v>11950797</v>
      </c>
      <c r="J4" s="30">
        <v>10840753</v>
      </c>
      <c r="K4" s="30">
        <v>9893812</v>
      </c>
      <c r="L4" s="31">
        <v>10099018</v>
      </c>
      <c r="M4" s="30">
        <v>10483060</v>
      </c>
      <c r="N4" s="30">
        <v>10305115</v>
      </c>
      <c r="O4" s="30">
        <v>9929077</v>
      </c>
      <c r="P4" s="30">
        <v>10713440</v>
      </c>
      <c r="Q4" s="30">
        <v>10148766</v>
      </c>
      <c r="R4" s="30">
        <v>9085064</v>
      </c>
      <c r="S4" s="30">
        <v>7530158</v>
      </c>
      <c r="U4" s="47">
        <f t="shared" ref="U4:U21" si="1">AVERAGE(Q4:S4)</f>
        <v>8921329.333333334</v>
      </c>
      <c r="V4" s="47">
        <f t="shared" ref="V4:V21" si="2">S4</f>
        <v>7530158</v>
      </c>
    </row>
    <row r="5" spans="1:22" x14ac:dyDescent="0.25">
      <c r="A5" s="24" t="s">
        <v>46</v>
      </c>
      <c r="B5" s="25">
        <v>2640</v>
      </c>
      <c r="C5" s="26">
        <v>27886</v>
      </c>
      <c r="D5" s="27">
        <v>27886</v>
      </c>
      <c r="E5" s="28">
        <f t="shared" si="0"/>
        <v>1976</v>
      </c>
      <c r="F5" s="29" t="s">
        <v>44</v>
      </c>
      <c r="G5" s="30">
        <v>18204910</v>
      </c>
      <c r="H5" s="30">
        <v>15289169</v>
      </c>
      <c r="I5" s="30">
        <v>16570689</v>
      </c>
      <c r="J5" s="30">
        <v>14443442</v>
      </c>
      <c r="K5" s="30">
        <v>14803828</v>
      </c>
      <c r="L5" s="31">
        <v>15940417</v>
      </c>
      <c r="M5" s="30">
        <v>14837902</v>
      </c>
      <c r="N5" s="30">
        <v>12183630</v>
      </c>
      <c r="O5" s="30">
        <v>13067561</v>
      </c>
      <c r="P5" s="30">
        <v>13951805</v>
      </c>
      <c r="Q5" s="30">
        <v>11328488</v>
      </c>
      <c r="R5" s="30">
        <v>12597519</v>
      </c>
      <c r="S5" s="30">
        <v>10727877</v>
      </c>
      <c r="U5" s="47">
        <f t="shared" si="1"/>
        <v>11551294.666666666</v>
      </c>
      <c r="V5" s="47">
        <f t="shared" si="2"/>
        <v>10727877</v>
      </c>
    </row>
    <row r="6" spans="1:22" x14ac:dyDescent="0.25">
      <c r="A6" s="24" t="s">
        <v>47</v>
      </c>
      <c r="B6" s="25">
        <v>171</v>
      </c>
      <c r="C6" s="26">
        <v>27893</v>
      </c>
      <c r="D6" s="27">
        <v>27893</v>
      </c>
      <c r="E6" s="28">
        <f t="shared" si="0"/>
        <v>1976</v>
      </c>
      <c r="F6" s="29" t="s">
        <v>44</v>
      </c>
      <c r="G6" s="32">
        <v>992</v>
      </c>
      <c r="H6" s="30">
        <v>1163</v>
      </c>
      <c r="I6" s="30">
        <v>9958</v>
      </c>
      <c r="J6" s="30">
        <v>56443</v>
      </c>
      <c r="K6" s="30">
        <v>64570</v>
      </c>
      <c r="L6" s="31">
        <v>55960</v>
      </c>
      <c r="M6" s="32">
        <v>151</v>
      </c>
      <c r="N6" s="32">
        <v>76</v>
      </c>
      <c r="O6" s="30">
        <v>1712</v>
      </c>
      <c r="P6" s="32">
        <v>438</v>
      </c>
      <c r="Q6" s="30">
        <v>1467</v>
      </c>
      <c r="R6" s="32">
        <v>873</v>
      </c>
      <c r="S6" s="30">
        <v>1069</v>
      </c>
      <c r="U6" s="47">
        <f t="shared" si="1"/>
        <v>1136.3333333333333</v>
      </c>
      <c r="V6" s="47">
        <f t="shared" si="2"/>
        <v>1069</v>
      </c>
    </row>
    <row r="7" spans="1:22" x14ac:dyDescent="0.25">
      <c r="A7" s="24" t="s">
        <v>48</v>
      </c>
      <c r="B7" s="25">
        <v>171</v>
      </c>
      <c r="C7" s="26">
        <v>28033</v>
      </c>
      <c r="D7" s="27">
        <v>28033</v>
      </c>
      <c r="E7" s="28">
        <f t="shared" si="0"/>
        <v>1976</v>
      </c>
      <c r="F7" s="29" t="s">
        <v>44</v>
      </c>
      <c r="G7" s="30">
        <v>5507</v>
      </c>
      <c r="H7" s="30">
        <v>2162</v>
      </c>
      <c r="I7" s="30">
        <v>10830</v>
      </c>
      <c r="J7" s="30">
        <v>73166</v>
      </c>
      <c r="K7" s="30">
        <v>67421</v>
      </c>
      <c r="L7" s="31">
        <v>68699</v>
      </c>
      <c r="M7" s="32">
        <v>41</v>
      </c>
      <c r="N7" s="32">
        <v>63</v>
      </c>
      <c r="O7" s="30">
        <v>1787</v>
      </c>
      <c r="P7" s="32">
        <v>436</v>
      </c>
      <c r="Q7" s="30">
        <v>1457</v>
      </c>
      <c r="R7" s="32">
        <v>937</v>
      </c>
      <c r="S7" s="30">
        <v>3010</v>
      </c>
      <c r="U7" s="47">
        <f t="shared" si="1"/>
        <v>1801.3333333333333</v>
      </c>
      <c r="V7" s="47">
        <f t="shared" si="2"/>
        <v>3010</v>
      </c>
    </row>
    <row r="8" spans="1:22" x14ac:dyDescent="0.25">
      <c r="A8" s="24" t="s">
        <v>49</v>
      </c>
      <c r="B8" s="25">
        <v>3450</v>
      </c>
      <c r="C8" s="26">
        <v>29127</v>
      </c>
      <c r="D8" s="27">
        <v>29127</v>
      </c>
      <c r="E8" s="28">
        <f t="shared" si="0"/>
        <v>1979</v>
      </c>
      <c r="F8" s="29" t="s">
        <v>44</v>
      </c>
      <c r="G8" s="30">
        <v>21504422</v>
      </c>
      <c r="H8" s="30">
        <v>20650022</v>
      </c>
      <c r="I8" s="30">
        <v>21939690</v>
      </c>
      <c r="J8" s="30">
        <v>18376342</v>
      </c>
      <c r="K8" s="30">
        <v>20221135</v>
      </c>
      <c r="L8" s="31">
        <v>20811348</v>
      </c>
      <c r="M8" s="30">
        <v>20032197</v>
      </c>
      <c r="N8" s="30">
        <v>19408403</v>
      </c>
      <c r="O8" s="30">
        <v>18938849</v>
      </c>
      <c r="P8" s="30">
        <v>19887819</v>
      </c>
      <c r="Q8" s="30">
        <v>18560297</v>
      </c>
      <c r="R8" s="30">
        <v>18412664</v>
      </c>
      <c r="S8" s="30">
        <v>15170449</v>
      </c>
      <c r="U8" s="47">
        <f t="shared" si="1"/>
        <v>17381136.666666668</v>
      </c>
      <c r="V8" s="47">
        <f t="shared" si="2"/>
        <v>15170449</v>
      </c>
    </row>
    <row r="9" spans="1:22" x14ac:dyDescent="0.25">
      <c r="A9" s="24" t="s">
        <v>50</v>
      </c>
      <c r="B9" s="25">
        <v>2875</v>
      </c>
      <c r="C9" s="26">
        <v>29451</v>
      </c>
      <c r="D9" s="27">
        <v>29451</v>
      </c>
      <c r="E9" s="28">
        <f t="shared" si="0"/>
        <v>1980</v>
      </c>
      <c r="F9" s="29" t="s">
        <v>44</v>
      </c>
      <c r="G9" s="30">
        <v>20267508</v>
      </c>
      <c r="H9" s="30">
        <v>17556459</v>
      </c>
      <c r="I9" s="30">
        <v>17413964</v>
      </c>
      <c r="J9" s="30">
        <v>17925378</v>
      </c>
      <c r="K9" s="30">
        <v>13191464</v>
      </c>
      <c r="L9" s="31">
        <v>14060101</v>
      </c>
      <c r="M9" s="30">
        <v>16359000</v>
      </c>
      <c r="N9" s="30">
        <v>13001015</v>
      </c>
      <c r="O9" s="30">
        <v>11120844</v>
      </c>
      <c r="P9" s="30">
        <v>10649157</v>
      </c>
      <c r="Q9" s="30">
        <v>11230400</v>
      </c>
      <c r="R9" s="30">
        <v>9822489</v>
      </c>
      <c r="S9" s="30">
        <v>9555266</v>
      </c>
      <c r="U9" s="47">
        <f t="shared" si="1"/>
        <v>10202718.333333334</v>
      </c>
      <c r="V9" s="47">
        <f t="shared" si="2"/>
        <v>9555266</v>
      </c>
    </row>
    <row r="10" spans="1:22" x14ac:dyDescent="0.25">
      <c r="A10" s="24" t="s">
        <v>51</v>
      </c>
      <c r="B10" s="25">
        <v>3510</v>
      </c>
      <c r="C10" s="26">
        <v>31199</v>
      </c>
      <c r="D10" s="27">
        <v>31199</v>
      </c>
      <c r="E10" s="28">
        <f t="shared" si="0"/>
        <v>1985</v>
      </c>
      <c r="F10" s="29" t="s">
        <v>44</v>
      </c>
      <c r="G10" s="30">
        <v>19067501</v>
      </c>
      <c r="H10" s="30">
        <v>20504886</v>
      </c>
      <c r="I10" s="30">
        <v>19306569</v>
      </c>
      <c r="J10" s="30">
        <v>18103698</v>
      </c>
      <c r="K10" s="30">
        <v>20594572</v>
      </c>
      <c r="L10" s="31">
        <v>18383009</v>
      </c>
      <c r="M10" s="30">
        <v>16028708</v>
      </c>
      <c r="N10" s="30">
        <v>16730961</v>
      </c>
      <c r="O10" s="30">
        <v>15169501</v>
      </c>
      <c r="P10" s="30">
        <v>12129632</v>
      </c>
      <c r="Q10" s="30">
        <v>10554111</v>
      </c>
      <c r="R10" s="30">
        <v>8524715</v>
      </c>
      <c r="S10" s="30">
        <v>7564337</v>
      </c>
      <c r="U10" s="47">
        <f t="shared" si="1"/>
        <v>8881054.333333334</v>
      </c>
      <c r="V10" s="47">
        <f t="shared" si="2"/>
        <v>7564337</v>
      </c>
    </row>
    <row r="11" spans="1:22" x14ac:dyDescent="0.25">
      <c r="A11" s="24" t="s">
        <v>52</v>
      </c>
      <c r="B11" s="25">
        <v>3558</v>
      </c>
      <c r="C11" s="26">
        <v>31403</v>
      </c>
      <c r="D11" s="27">
        <v>31403</v>
      </c>
      <c r="E11" s="28">
        <f t="shared" si="0"/>
        <v>1985</v>
      </c>
      <c r="F11" s="29" t="s">
        <v>44</v>
      </c>
      <c r="G11" s="30">
        <v>25500366</v>
      </c>
      <c r="H11" s="30">
        <v>24274937</v>
      </c>
      <c r="I11" s="30">
        <v>22480206</v>
      </c>
      <c r="J11" s="30">
        <v>23092551</v>
      </c>
      <c r="K11" s="30">
        <v>23742350</v>
      </c>
      <c r="L11" s="31">
        <v>20996410</v>
      </c>
      <c r="M11" s="30">
        <v>22271522</v>
      </c>
      <c r="N11" s="30">
        <v>18202800</v>
      </c>
      <c r="O11" s="30">
        <v>21565771</v>
      </c>
      <c r="P11" s="30">
        <v>18888210</v>
      </c>
      <c r="Q11" s="30">
        <v>21832979</v>
      </c>
      <c r="R11" s="30">
        <v>22890481</v>
      </c>
      <c r="S11" s="30">
        <v>21367191</v>
      </c>
      <c r="U11" s="47">
        <f t="shared" si="1"/>
        <v>22030217</v>
      </c>
      <c r="V11" s="47">
        <f t="shared" si="2"/>
        <v>21367191</v>
      </c>
    </row>
    <row r="12" spans="1:22" x14ac:dyDescent="0.25">
      <c r="A12" s="24" t="s">
        <v>53</v>
      </c>
      <c r="B12" s="25">
        <v>3690</v>
      </c>
      <c r="C12" s="26">
        <v>32115</v>
      </c>
      <c r="D12" s="27">
        <v>32115</v>
      </c>
      <c r="E12" s="28">
        <f t="shared" si="0"/>
        <v>1987</v>
      </c>
      <c r="F12" s="29" t="s">
        <v>44</v>
      </c>
      <c r="G12" s="30">
        <v>28163040</v>
      </c>
      <c r="H12" s="30">
        <v>27899475</v>
      </c>
      <c r="I12" s="30">
        <v>26714123</v>
      </c>
      <c r="J12" s="30">
        <v>25895187</v>
      </c>
      <c r="K12" s="30">
        <v>26851628</v>
      </c>
      <c r="L12" s="31">
        <v>24554035</v>
      </c>
      <c r="M12" s="30">
        <v>25610275</v>
      </c>
      <c r="N12" s="30">
        <v>26369000</v>
      </c>
      <c r="O12" s="30">
        <v>26677698</v>
      </c>
      <c r="P12" s="30">
        <v>26704094</v>
      </c>
      <c r="Q12" s="30">
        <v>23533126</v>
      </c>
      <c r="R12" s="30">
        <v>23180336</v>
      </c>
      <c r="S12" s="30">
        <v>23257630</v>
      </c>
      <c r="U12" s="47">
        <f t="shared" si="1"/>
        <v>23323697.333333332</v>
      </c>
      <c r="V12" s="47">
        <f t="shared" si="2"/>
        <v>23257630</v>
      </c>
    </row>
    <row r="13" spans="1:22" x14ac:dyDescent="0.25">
      <c r="A13" s="24" t="s">
        <v>54</v>
      </c>
      <c r="B13" s="25">
        <v>3840</v>
      </c>
      <c r="C13" s="26">
        <v>32417</v>
      </c>
      <c r="D13" s="27">
        <v>32417</v>
      </c>
      <c r="E13" s="28">
        <f t="shared" si="0"/>
        <v>1988</v>
      </c>
      <c r="F13" s="29" t="s">
        <v>44</v>
      </c>
      <c r="G13" s="30">
        <v>25648258</v>
      </c>
      <c r="H13" s="30">
        <v>27309297</v>
      </c>
      <c r="I13" s="30">
        <v>26198513</v>
      </c>
      <c r="J13" s="30">
        <v>27012212</v>
      </c>
      <c r="K13" s="30">
        <v>24459162</v>
      </c>
      <c r="L13" s="31">
        <v>25301535</v>
      </c>
      <c r="M13" s="30">
        <v>23183480</v>
      </c>
      <c r="N13" s="30">
        <v>25445952</v>
      </c>
      <c r="O13" s="30">
        <v>21049970</v>
      </c>
      <c r="P13" s="30">
        <v>17186573</v>
      </c>
      <c r="Q13" s="30">
        <v>15106544</v>
      </c>
      <c r="R13" s="30">
        <v>15139746</v>
      </c>
      <c r="S13" s="30">
        <v>15750630</v>
      </c>
      <c r="U13" s="47">
        <f t="shared" si="1"/>
        <v>15332306.666666666</v>
      </c>
      <c r="V13" s="47">
        <f t="shared" si="2"/>
        <v>15750630</v>
      </c>
    </row>
    <row r="14" spans="1:22" x14ac:dyDescent="0.25">
      <c r="A14" s="24" t="s">
        <v>55</v>
      </c>
      <c r="B14" s="25">
        <v>3807</v>
      </c>
      <c r="C14" s="26">
        <v>35156</v>
      </c>
      <c r="D14" s="27">
        <v>35156</v>
      </c>
      <c r="E14" s="28">
        <f t="shared" si="0"/>
        <v>1996</v>
      </c>
      <c r="F14" s="29" t="s">
        <v>44</v>
      </c>
      <c r="G14" s="30">
        <v>24632585</v>
      </c>
      <c r="H14" s="30">
        <v>25325348</v>
      </c>
      <c r="I14" s="30">
        <v>24781734</v>
      </c>
      <c r="J14" s="30">
        <v>23801048</v>
      </c>
      <c r="K14" s="30">
        <v>22423750</v>
      </c>
      <c r="L14" s="31">
        <v>21187846</v>
      </c>
      <c r="M14" s="30">
        <v>20900760</v>
      </c>
      <c r="N14" s="30">
        <v>24413271</v>
      </c>
      <c r="O14" s="30">
        <v>24154240</v>
      </c>
      <c r="P14" s="30">
        <v>22088772</v>
      </c>
      <c r="Q14" s="30">
        <v>21857835</v>
      </c>
      <c r="R14" s="30">
        <v>19823301</v>
      </c>
      <c r="S14" s="30">
        <v>15540628</v>
      </c>
      <c r="U14" s="47">
        <f t="shared" si="1"/>
        <v>19073921.333333332</v>
      </c>
      <c r="V14" s="47">
        <f t="shared" si="2"/>
        <v>15540628</v>
      </c>
    </row>
    <row r="15" spans="1:22" x14ac:dyDescent="0.25">
      <c r="A15" s="24" t="s">
        <v>56</v>
      </c>
      <c r="B15" s="25">
        <v>1481</v>
      </c>
      <c r="C15" s="26">
        <v>24685</v>
      </c>
      <c r="D15" s="27">
        <v>38412</v>
      </c>
      <c r="E15" s="28">
        <f t="shared" si="0"/>
        <v>2005</v>
      </c>
      <c r="F15" s="29" t="s">
        <v>44</v>
      </c>
      <c r="G15" s="30">
        <v>7490836</v>
      </c>
      <c r="H15" s="30">
        <v>7267648</v>
      </c>
      <c r="I15" s="30">
        <v>8379789</v>
      </c>
      <c r="J15" s="30">
        <v>8727143</v>
      </c>
      <c r="K15" s="30">
        <v>8336111</v>
      </c>
      <c r="L15" s="31">
        <v>7947972</v>
      </c>
      <c r="M15" s="30">
        <v>7763734</v>
      </c>
      <c r="N15" s="30">
        <v>6777927</v>
      </c>
      <c r="O15" s="30">
        <v>6972647</v>
      </c>
      <c r="P15" s="30">
        <v>5846748</v>
      </c>
      <c r="Q15" s="30">
        <v>2518438</v>
      </c>
      <c r="R15" s="30">
        <v>6670341</v>
      </c>
      <c r="S15" s="30">
        <v>7378745</v>
      </c>
      <c r="U15" s="47">
        <f t="shared" si="1"/>
        <v>5522508</v>
      </c>
      <c r="V15" s="47">
        <f t="shared" si="2"/>
        <v>7378745</v>
      </c>
    </row>
    <row r="16" spans="1:22" x14ac:dyDescent="0.25">
      <c r="A16" s="24" t="s">
        <v>57</v>
      </c>
      <c r="B16" s="25">
        <v>1327</v>
      </c>
      <c r="C16" s="26">
        <v>39142</v>
      </c>
      <c r="D16" s="27">
        <v>39142</v>
      </c>
      <c r="E16" s="28">
        <f t="shared" si="0"/>
        <v>2007</v>
      </c>
      <c r="F16" s="29" t="s">
        <v>44</v>
      </c>
      <c r="G16" s="30">
        <v>130241</v>
      </c>
      <c r="H16" s="30">
        <v>391049</v>
      </c>
      <c r="I16" s="30">
        <v>1225994</v>
      </c>
      <c r="J16" s="30">
        <v>2358259</v>
      </c>
      <c r="K16" s="30">
        <v>2350792</v>
      </c>
      <c r="L16" s="31">
        <v>2503859</v>
      </c>
      <c r="M16" s="30">
        <v>20939</v>
      </c>
      <c r="N16" s="30">
        <v>62963</v>
      </c>
      <c r="O16" s="30">
        <v>788527</v>
      </c>
      <c r="P16" s="30">
        <v>808699</v>
      </c>
      <c r="Q16" s="30">
        <v>703887</v>
      </c>
      <c r="R16" s="30">
        <v>953788</v>
      </c>
      <c r="S16" s="30">
        <v>1332491</v>
      </c>
      <c r="U16" s="47">
        <f t="shared" si="1"/>
        <v>996722</v>
      </c>
      <c r="V16" s="47">
        <f t="shared" si="2"/>
        <v>1332491</v>
      </c>
    </row>
    <row r="17" spans="1:22" x14ac:dyDescent="0.25">
      <c r="A17" s="24" t="s">
        <v>58</v>
      </c>
      <c r="B17" s="25">
        <v>740</v>
      </c>
      <c r="C17" s="26">
        <v>39264</v>
      </c>
      <c r="D17" s="27">
        <v>39264</v>
      </c>
      <c r="E17" s="28">
        <f t="shared" si="0"/>
        <v>2007</v>
      </c>
      <c r="F17" s="29" t="s">
        <v>44</v>
      </c>
      <c r="G17" s="30">
        <v>62233</v>
      </c>
      <c r="H17" s="30">
        <v>314651</v>
      </c>
      <c r="I17" s="30">
        <v>657374</v>
      </c>
      <c r="J17" s="30">
        <v>1133246</v>
      </c>
      <c r="K17" s="30">
        <v>1226384</v>
      </c>
      <c r="L17" s="31">
        <v>1307888</v>
      </c>
      <c r="M17" s="30">
        <v>8153</v>
      </c>
      <c r="N17" s="30">
        <v>54496</v>
      </c>
      <c r="O17" s="30">
        <v>409512</v>
      </c>
      <c r="P17" s="30">
        <v>518521</v>
      </c>
      <c r="Q17" s="30">
        <v>749724</v>
      </c>
      <c r="R17" s="30">
        <v>870396</v>
      </c>
      <c r="S17" s="30">
        <v>1681217</v>
      </c>
      <c r="U17" s="47">
        <f t="shared" si="1"/>
        <v>1100445.6666666667</v>
      </c>
      <c r="V17" s="47">
        <f t="shared" si="2"/>
        <v>1681217</v>
      </c>
    </row>
    <row r="18" spans="1:22" x14ac:dyDescent="0.25">
      <c r="A18" s="24" t="s">
        <v>59</v>
      </c>
      <c r="B18" s="25">
        <v>570</v>
      </c>
      <c r="C18" s="26">
        <v>25355</v>
      </c>
      <c r="D18" s="27">
        <v>39568</v>
      </c>
      <c r="E18" s="28">
        <f t="shared" si="0"/>
        <v>2008</v>
      </c>
      <c r="F18" s="29" t="s">
        <v>44</v>
      </c>
      <c r="G18" s="30">
        <v>3546952</v>
      </c>
      <c r="H18" s="30">
        <v>6094910</v>
      </c>
      <c r="I18" s="30">
        <v>5491180</v>
      </c>
      <c r="J18" s="30">
        <v>7345967</v>
      </c>
      <c r="K18" s="30">
        <v>6144207</v>
      </c>
      <c r="L18" s="31">
        <v>5273434</v>
      </c>
      <c r="M18" s="30">
        <v>4545234</v>
      </c>
      <c r="N18" s="30">
        <v>3295218</v>
      </c>
      <c r="O18" s="30">
        <v>2703531</v>
      </c>
      <c r="P18" s="30">
        <v>2477795</v>
      </c>
      <c r="Q18" s="30">
        <v>2992859</v>
      </c>
      <c r="R18" s="30">
        <v>2445162</v>
      </c>
      <c r="S18" s="30">
        <v>2416293</v>
      </c>
      <c r="U18" s="47">
        <f t="shared" si="1"/>
        <v>2618104.6666666665</v>
      </c>
      <c r="V18" s="47">
        <f t="shared" si="2"/>
        <v>2416293</v>
      </c>
    </row>
    <row r="19" spans="1:22" x14ac:dyDescent="0.25">
      <c r="A19" s="24" t="s">
        <v>60</v>
      </c>
      <c r="B19" s="25">
        <v>990</v>
      </c>
      <c r="C19" s="26">
        <v>22591</v>
      </c>
      <c r="D19" s="27">
        <v>39903</v>
      </c>
      <c r="E19" s="28">
        <f t="shared" si="0"/>
        <v>2009</v>
      </c>
      <c r="F19" s="29" t="s">
        <v>44</v>
      </c>
      <c r="G19" s="30">
        <v>2060141</v>
      </c>
      <c r="H19" s="30">
        <v>2398132</v>
      </c>
      <c r="I19" s="30">
        <v>4104105</v>
      </c>
      <c r="J19" s="30">
        <v>5059255</v>
      </c>
      <c r="K19" s="30">
        <v>4066079</v>
      </c>
      <c r="L19" s="31">
        <v>4241812</v>
      </c>
      <c r="M19" s="30">
        <v>4123522</v>
      </c>
      <c r="N19" s="30">
        <v>2209493</v>
      </c>
      <c r="O19" s="30">
        <v>2064923</v>
      </c>
      <c r="P19" s="30">
        <v>1581225</v>
      </c>
      <c r="Q19" s="30">
        <v>708862</v>
      </c>
      <c r="R19" s="30">
        <v>608728</v>
      </c>
      <c r="S19" s="30">
        <v>369330</v>
      </c>
      <c r="U19" s="47">
        <f t="shared" si="1"/>
        <v>562306.66666666663</v>
      </c>
      <c r="V19" s="47">
        <f t="shared" si="2"/>
        <v>369330</v>
      </c>
    </row>
    <row r="20" spans="1:22" x14ac:dyDescent="0.25">
      <c r="A20" s="24" t="s">
        <v>61</v>
      </c>
      <c r="B20" s="25">
        <v>3600</v>
      </c>
      <c r="C20" s="26">
        <v>42238</v>
      </c>
      <c r="D20" s="27">
        <v>42238</v>
      </c>
      <c r="E20" s="28">
        <f t="shared" si="0"/>
        <v>2015</v>
      </c>
      <c r="F20" s="29" t="s">
        <v>44</v>
      </c>
      <c r="G20" s="33"/>
      <c r="H20" s="33"/>
      <c r="I20" s="33"/>
      <c r="J20" s="33"/>
      <c r="K20" s="33"/>
      <c r="L20" s="33"/>
      <c r="M20" s="30">
        <v>2428262</v>
      </c>
      <c r="N20" s="30">
        <v>4420084</v>
      </c>
      <c r="O20" s="30">
        <v>15518851</v>
      </c>
      <c r="P20" s="30">
        <v>19978963</v>
      </c>
      <c r="Q20" s="30">
        <v>19753895</v>
      </c>
      <c r="R20" s="30">
        <v>22637675</v>
      </c>
      <c r="S20" s="30">
        <v>23246212</v>
      </c>
      <c r="U20" s="47">
        <f t="shared" si="1"/>
        <v>21879260.666666668</v>
      </c>
      <c r="V20" s="47">
        <f t="shared" si="2"/>
        <v>23246212</v>
      </c>
    </row>
    <row r="21" spans="1:22" x14ac:dyDescent="0.25">
      <c r="A21" s="24" t="s">
        <v>62</v>
      </c>
      <c r="B21" s="25">
        <v>2880</v>
      </c>
      <c r="C21" s="26">
        <v>42977</v>
      </c>
      <c r="D21" s="27">
        <v>42977</v>
      </c>
      <c r="E21" s="28">
        <f t="shared" si="0"/>
        <v>2017</v>
      </c>
      <c r="F21" s="29" t="s">
        <v>44</v>
      </c>
      <c r="G21" s="33"/>
      <c r="H21" s="33"/>
      <c r="I21" s="33"/>
      <c r="J21" s="33"/>
      <c r="K21" s="33"/>
      <c r="L21" s="33"/>
      <c r="M21" s="33"/>
      <c r="N21" s="33"/>
      <c r="O21" s="30">
        <v>3921196</v>
      </c>
      <c r="P21" s="30">
        <v>7487938</v>
      </c>
      <c r="Q21" s="30">
        <v>8553383</v>
      </c>
      <c r="R21" s="30">
        <v>7992189</v>
      </c>
      <c r="S21" s="30">
        <v>9119476</v>
      </c>
      <c r="U21" s="47">
        <f t="shared" si="1"/>
        <v>8555016</v>
      </c>
      <c r="V21" s="47">
        <f t="shared" si="2"/>
        <v>9119476</v>
      </c>
    </row>
    <row r="22" spans="1:22" x14ac:dyDescent="0.25">
      <c r="A22" s="24" t="s">
        <v>92</v>
      </c>
      <c r="B22" s="25">
        <v>3510</v>
      </c>
      <c r="C22" s="26">
        <v>30893</v>
      </c>
      <c r="D22" s="26">
        <v>30893</v>
      </c>
      <c r="E22" s="28">
        <f t="shared" si="0"/>
        <v>1984</v>
      </c>
      <c r="F22" s="29" t="s">
        <v>44</v>
      </c>
      <c r="G22" s="33"/>
      <c r="H22" s="33"/>
      <c r="I22" s="33"/>
      <c r="J22" s="33"/>
      <c r="K22" s="33">
        <f>13794*1000</f>
        <v>13794000</v>
      </c>
      <c r="L22" s="33">
        <f>12237*1000</f>
        <v>12237000</v>
      </c>
      <c r="M22" s="33">
        <f>15026*1000</f>
        <v>15026000</v>
      </c>
      <c r="N22" s="33">
        <f>14193*1000</f>
        <v>14193000</v>
      </c>
      <c r="O22" s="30">
        <f>11580*1000</f>
        <v>11580000</v>
      </c>
      <c r="P22" s="30">
        <f>13252*1000</f>
        <v>13252000</v>
      </c>
      <c r="Q22" s="30">
        <f>9903*1000</f>
        <v>9903000</v>
      </c>
      <c r="R22" s="30">
        <f>12355*1000</f>
        <v>12355000</v>
      </c>
      <c r="S22" s="30">
        <f>9803*1000</f>
        <v>9803000</v>
      </c>
      <c r="T22" s="50" t="s">
        <v>93</v>
      </c>
      <c r="U22" s="47">
        <f t="shared" ref="U22" si="3">AVERAGE(Q22:S22)</f>
        <v>10687000</v>
      </c>
      <c r="V22" s="47">
        <f t="shared" ref="V22" si="4">S22</f>
        <v>9803000</v>
      </c>
    </row>
    <row r="23" spans="1:22" x14ac:dyDescent="0.25">
      <c r="A23" s="24" t="s">
        <v>82</v>
      </c>
      <c r="B23" s="25"/>
      <c r="C23" s="26"/>
      <c r="D23" s="27"/>
      <c r="E23" s="28"/>
      <c r="F23" s="29" t="s">
        <v>44</v>
      </c>
      <c r="G23" s="33"/>
      <c r="H23" s="33"/>
      <c r="I23" s="33"/>
      <c r="J23" s="33"/>
      <c r="K23" s="30">
        <f>10731*1000</f>
        <v>10731000</v>
      </c>
      <c r="L23" s="30">
        <f>9703*1000</f>
        <v>9703000</v>
      </c>
      <c r="M23" s="30">
        <f>7418*1000</f>
        <v>7418000</v>
      </c>
      <c r="N23" s="30">
        <f>7731*1000</f>
        <v>7731000</v>
      </c>
      <c r="O23" s="30">
        <f>7355*1000</f>
        <v>7355000</v>
      </c>
      <c r="P23" s="30">
        <f>8568*1000</f>
        <v>8568000</v>
      </c>
      <c r="Q23" s="30">
        <f>8812*1000</f>
        <v>8812000</v>
      </c>
      <c r="R23" s="30">
        <f>8500*1000</f>
        <v>8500000</v>
      </c>
      <c r="S23" s="30">
        <f>8654*1000</f>
        <v>8654000</v>
      </c>
      <c r="T23" s="50" t="s">
        <v>93</v>
      </c>
      <c r="U23" s="47">
        <f t="shared" ref="U23" si="5">AVERAGE(Q23:S23)</f>
        <v>8655333.333333334</v>
      </c>
      <c r="V23" s="47">
        <f t="shared" ref="V23" si="6">S23</f>
        <v>8654000</v>
      </c>
    </row>
    <row r="25" spans="1:22" x14ac:dyDescent="0.25">
      <c r="A25" s="53" t="s">
        <v>100</v>
      </c>
    </row>
    <row r="26" spans="1:22" ht="26.4" x14ac:dyDescent="0.25">
      <c r="A26" s="35" t="s">
        <v>66</v>
      </c>
      <c r="B26" s="36" t="s">
        <v>73</v>
      </c>
      <c r="C26" s="36" t="s">
        <v>42</v>
      </c>
      <c r="D26" s="37" t="s">
        <v>26</v>
      </c>
      <c r="E26" s="37" t="s">
        <v>65</v>
      </c>
      <c r="F26" s="38" t="s">
        <v>28</v>
      </c>
      <c r="G26" s="38" t="s">
        <v>29</v>
      </c>
      <c r="H26" s="38" t="s">
        <v>30</v>
      </c>
      <c r="I26" s="38" t="s">
        <v>31</v>
      </c>
      <c r="J26" s="38" t="s">
        <v>32</v>
      </c>
      <c r="K26" s="38" t="s">
        <v>33</v>
      </c>
      <c r="L26" s="38" t="s">
        <v>34</v>
      </c>
      <c r="M26" s="38" t="s">
        <v>35</v>
      </c>
      <c r="N26" s="38" t="s">
        <v>36</v>
      </c>
      <c r="O26" s="38" t="s">
        <v>37</v>
      </c>
      <c r="P26" s="38" t="s">
        <v>38</v>
      </c>
      <c r="Q26" s="38" t="s">
        <v>39</v>
      </c>
      <c r="R26" s="38" t="s">
        <v>40</v>
      </c>
      <c r="S26" s="38" t="s">
        <v>41</v>
      </c>
    </row>
    <row r="27" spans="1:22" x14ac:dyDescent="0.25">
      <c r="A27" s="39" t="s">
        <v>43</v>
      </c>
      <c r="B27" s="40">
        <v>1098</v>
      </c>
      <c r="C27" s="26">
        <v>25700</v>
      </c>
      <c r="D27" s="27">
        <v>25700</v>
      </c>
      <c r="E27" s="41" t="s">
        <v>67</v>
      </c>
      <c r="F27" s="42" t="s">
        <v>68</v>
      </c>
      <c r="G27" s="43">
        <v>7139198</v>
      </c>
      <c r="H27" s="44">
        <v>6849996</v>
      </c>
      <c r="I27" s="44">
        <v>5763637</v>
      </c>
      <c r="J27" s="43">
        <v>5323902</v>
      </c>
      <c r="K27" s="44">
        <v>6479235</v>
      </c>
      <c r="L27" s="44">
        <v>4958484</v>
      </c>
      <c r="M27" s="43">
        <v>5365575</v>
      </c>
      <c r="N27" s="43">
        <v>5157302</v>
      </c>
      <c r="O27" s="43">
        <v>4726597</v>
      </c>
      <c r="P27" s="43">
        <v>3072493</v>
      </c>
      <c r="Q27" s="43">
        <v>3024527</v>
      </c>
      <c r="R27" s="43">
        <v>3024981</v>
      </c>
      <c r="S27" s="43">
        <v>1486626</v>
      </c>
      <c r="U27" s="47">
        <f t="shared" ref="U27:U45" si="7">AVERAGE(Q27:S27)</f>
        <v>2512044.6666666665</v>
      </c>
      <c r="V27" s="47">
        <f t="shared" ref="V27:V45" si="8">S27</f>
        <v>1486626</v>
      </c>
    </row>
    <row r="28" spans="1:22" x14ac:dyDescent="0.25">
      <c r="A28" s="39" t="s">
        <v>45</v>
      </c>
      <c r="B28" s="40">
        <v>2100</v>
      </c>
      <c r="C28" s="26">
        <v>26197</v>
      </c>
      <c r="D28" s="27">
        <v>26197</v>
      </c>
      <c r="E28" s="41" t="s">
        <v>67</v>
      </c>
      <c r="F28" s="42" t="s">
        <v>68</v>
      </c>
      <c r="G28" s="43">
        <v>6525670</v>
      </c>
      <c r="H28" s="44">
        <v>7035460</v>
      </c>
      <c r="I28" s="44">
        <v>6705593</v>
      </c>
      <c r="J28" s="43">
        <v>6066013</v>
      </c>
      <c r="K28" s="44">
        <v>5595389</v>
      </c>
      <c r="L28" s="44">
        <v>5864921</v>
      </c>
      <c r="M28" s="43">
        <v>9278888</v>
      </c>
      <c r="N28" s="43">
        <v>5576596</v>
      </c>
      <c r="O28" s="43">
        <v>5905158</v>
      </c>
      <c r="P28" s="43">
        <v>5967087</v>
      </c>
      <c r="Q28" s="43">
        <v>5663126</v>
      </c>
      <c r="R28" s="43">
        <v>5186766</v>
      </c>
      <c r="S28" s="43">
        <v>4293316</v>
      </c>
      <c r="U28" s="47">
        <f t="shared" si="7"/>
        <v>5047736</v>
      </c>
      <c r="V28" s="47">
        <f t="shared" si="8"/>
        <v>4293316</v>
      </c>
    </row>
    <row r="29" spans="1:22" x14ac:dyDescent="0.25">
      <c r="A29" s="39" t="s">
        <v>46</v>
      </c>
      <c r="B29" s="40">
        <v>2640</v>
      </c>
      <c r="C29" s="26">
        <v>27886</v>
      </c>
      <c r="D29" s="27">
        <v>27886</v>
      </c>
      <c r="E29" s="41" t="s">
        <v>67</v>
      </c>
      <c r="F29" s="42" t="s">
        <v>68</v>
      </c>
      <c r="G29" s="43">
        <v>9527185</v>
      </c>
      <c r="H29" s="44">
        <v>8360504</v>
      </c>
      <c r="I29" s="44">
        <v>8902897</v>
      </c>
      <c r="J29" s="43">
        <v>8147633</v>
      </c>
      <c r="K29" s="44">
        <v>7841257</v>
      </c>
      <c r="L29" s="44">
        <v>8643898</v>
      </c>
      <c r="M29" s="43">
        <v>8095662</v>
      </c>
      <c r="N29" s="43">
        <v>6562760</v>
      </c>
      <c r="O29" s="43">
        <v>7546103</v>
      </c>
      <c r="P29" s="43">
        <v>8368544</v>
      </c>
      <c r="Q29" s="43">
        <v>6694760</v>
      </c>
      <c r="R29" s="43">
        <v>7838445</v>
      </c>
      <c r="S29" s="43">
        <v>6865127</v>
      </c>
      <c r="U29" s="47">
        <f t="shared" si="7"/>
        <v>7132777.333333333</v>
      </c>
      <c r="V29" s="47">
        <f t="shared" si="8"/>
        <v>6865127</v>
      </c>
    </row>
    <row r="30" spans="1:22" ht="79.2" x14ac:dyDescent="0.25">
      <c r="A30" s="39" t="s">
        <v>47</v>
      </c>
      <c r="B30" s="40">
        <v>171</v>
      </c>
      <c r="C30" s="26">
        <v>27893</v>
      </c>
      <c r="D30" s="27">
        <v>27893</v>
      </c>
      <c r="E30" s="41" t="s">
        <v>69</v>
      </c>
      <c r="F30" s="42" t="s">
        <v>70</v>
      </c>
      <c r="G30" s="43">
        <v>444957</v>
      </c>
      <c r="H30" s="44">
        <v>462819</v>
      </c>
      <c r="I30" s="44">
        <v>3601410</v>
      </c>
      <c r="J30" s="43">
        <v>20141569</v>
      </c>
      <c r="K30" s="44">
        <v>24854691</v>
      </c>
      <c r="L30" s="44">
        <v>19959065</v>
      </c>
      <c r="M30" s="43">
        <v>76067</v>
      </c>
      <c r="N30" s="45">
        <v>73044</v>
      </c>
      <c r="O30" s="43">
        <v>623086</v>
      </c>
      <c r="P30" s="43">
        <v>215321</v>
      </c>
      <c r="Q30" s="43">
        <v>553684</v>
      </c>
      <c r="R30" s="43">
        <v>350693</v>
      </c>
      <c r="S30" s="43">
        <v>414371</v>
      </c>
      <c r="U30" s="47">
        <f t="shared" si="7"/>
        <v>439582.66666666669</v>
      </c>
      <c r="V30" s="47">
        <f t="shared" si="8"/>
        <v>414371</v>
      </c>
    </row>
    <row r="31" spans="1:22" ht="79.2" x14ac:dyDescent="0.25">
      <c r="A31" s="39" t="s">
        <v>48</v>
      </c>
      <c r="B31" s="40">
        <v>171</v>
      </c>
      <c r="C31" s="26">
        <v>28033</v>
      </c>
      <c r="D31" s="27">
        <v>28033</v>
      </c>
      <c r="E31" s="41" t="s">
        <v>71</v>
      </c>
      <c r="F31" s="42" t="s">
        <v>70</v>
      </c>
      <c r="G31" s="43">
        <v>281941</v>
      </c>
      <c r="H31" s="44">
        <v>828014</v>
      </c>
      <c r="I31" s="44">
        <v>4010155</v>
      </c>
      <c r="J31" s="43">
        <v>26036230</v>
      </c>
      <c r="K31" s="44">
        <v>23797797</v>
      </c>
      <c r="L31" s="44">
        <v>24233625</v>
      </c>
      <c r="M31" s="43">
        <v>36879</v>
      </c>
      <c r="N31" s="45">
        <v>45978</v>
      </c>
      <c r="O31" s="43">
        <v>664742</v>
      </c>
      <c r="P31" s="43">
        <v>176175</v>
      </c>
      <c r="Q31" s="43">
        <v>615307</v>
      </c>
      <c r="R31" s="43">
        <v>364144</v>
      </c>
      <c r="S31" s="43">
        <v>1093406</v>
      </c>
      <c r="U31" s="47">
        <f t="shared" si="7"/>
        <v>690952.33333333337</v>
      </c>
      <c r="V31" s="47">
        <f t="shared" si="8"/>
        <v>1093406</v>
      </c>
    </row>
    <row r="32" spans="1:22" x14ac:dyDescent="0.25">
      <c r="A32" s="39" t="s">
        <v>49</v>
      </c>
      <c r="B32" s="40">
        <v>3450</v>
      </c>
      <c r="C32" s="26">
        <v>29127</v>
      </c>
      <c r="D32" s="27">
        <v>29127</v>
      </c>
      <c r="E32" s="41" t="s">
        <v>67</v>
      </c>
      <c r="F32" s="42" t="s">
        <v>68</v>
      </c>
      <c r="G32" s="43">
        <v>12155421</v>
      </c>
      <c r="H32" s="44">
        <v>11367521</v>
      </c>
      <c r="I32" s="44">
        <v>12069357</v>
      </c>
      <c r="J32" s="43">
        <v>10076382</v>
      </c>
      <c r="K32" s="44">
        <v>11482829</v>
      </c>
      <c r="L32" s="44">
        <v>11649395</v>
      </c>
      <c r="M32" s="43">
        <v>10941541</v>
      </c>
      <c r="N32" s="43">
        <v>11339063</v>
      </c>
      <c r="O32" s="43">
        <v>10870747</v>
      </c>
      <c r="P32" s="43">
        <v>11287436</v>
      </c>
      <c r="Q32" s="43">
        <v>10694976</v>
      </c>
      <c r="R32" s="43">
        <v>10842908</v>
      </c>
      <c r="S32" s="43">
        <v>9536046</v>
      </c>
      <c r="U32" s="47">
        <f t="shared" si="7"/>
        <v>10357976.666666666</v>
      </c>
      <c r="V32" s="47">
        <f t="shared" si="8"/>
        <v>9536046</v>
      </c>
    </row>
    <row r="33" spans="1:22" x14ac:dyDescent="0.25">
      <c r="A33" s="39" t="s">
        <v>50</v>
      </c>
      <c r="B33" s="40">
        <v>2875</v>
      </c>
      <c r="C33" s="26">
        <v>29238</v>
      </c>
      <c r="D33" s="27">
        <v>29238</v>
      </c>
      <c r="E33" s="41" t="s">
        <v>67</v>
      </c>
      <c r="F33" s="42" t="s">
        <v>68</v>
      </c>
      <c r="G33" s="43">
        <v>10639393</v>
      </c>
      <c r="H33" s="44">
        <v>9154172</v>
      </c>
      <c r="I33" s="44">
        <v>9108411</v>
      </c>
      <c r="J33" s="43">
        <v>9741615</v>
      </c>
      <c r="K33" s="44">
        <v>7260002</v>
      </c>
      <c r="L33" s="44">
        <v>7599737</v>
      </c>
      <c r="M33" s="43">
        <v>8487411</v>
      </c>
      <c r="N33" s="43">
        <v>6882384</v>
      </c>
      <c r="O33" s="43">
        <v>6160222</v>
      </c>
      <c r="P33" s="43">
        <v>6215362</v>
      </c>
      <c r="Q33" s="43">
        <v>6581000</v>
      </c>
      <c r="R33" s="43">
        <v>5732195</v>
      </c>
      <c r="S33" s="43">
        <v>5428210</v>
      </c>
      <c r="U33" s="47">
        <f t="shared" si="7"/>
        <v>5913801.666666667</v>
      </c>
      <c r="V33" s="47">
        <f t="shared" si="8"/>
        <v>5428210</v>
      </c>
    </row>
    <row r="34" spans="1:22" x14ac:dyDescent="0.25">
      <c r="A34" s="39" t="s">
        <v>51</v>
      </c>
      <c r="B34" s="40">
        <v>3510</v>
      </c>
      <c r="C34" s="26">
        <v>31199</v>
      </c>
      <c r="D34" s="27">
        <v>31199</v>
      </c>
      <c r="E34" s="41" t="s">
        <v>67</v>
      </c>
      <c r="F34" s="42" t="s">
        <v>68</v>
      </c>
      <c r="G34" s="43">
        <v>10191709</v>
      </c>
      <c r="H34" s="44">
        <v>11368184</v>
      </c>
      <c r="I34" s="44">
        <v>10963012</v>
      </c>
      <c r="J34" s="43">
        <v>10663894</v>
      </c>
      <c r="K34" s="44">
        <v>11598592</v>
      </c>
      <c r="L34" s="44">
        <v>10448003</v>
      </c>
      <c r="M34" s="43">
        <v>9278888</v>
      </c>
      <c r="N34" s="43">
        <v>9423368</v>
      </c>
      <c r="O34" s="43">
        <v>9076800</v>
      </c>
      <c r="P34" s="43">
        <v>7504792</v>
      </c>
      <c r="Q34" s="43">
        <v>6697281</v>
      </c>
      <c r="R34" s="43">
        <v>5510214</v>
      </c>
      <c r="S34" s="43">
        <v>4697013</v>
      </c>
      <c r="U34" s="47">
        <f t="shared" si="7"/>
        <v>5634836</v>
      </c>
      <c r="V34" s="47">
        <f t="shared" si="8"/>
        <v>4697013</v>
      </c>
    </row>
    <row r="35" spans="1:22" x14ac:dyDescent="0.25">
      <c r="A35" s="39" t="s">
        <v>52</v>
      </c>
      <c r="B35" s="40">
        <v>3558</v>
      </c>
      <c r="C35" s="26">
        <v>31403</v>
      </c>
      <c r="D35" s="27">
        <v>31403</v>
      </c>
      <c r="E35" s="41" t="s">
        <v>67</v>
      </c>
      <c r="F35" s="42" t="s">
        <v>68</v>
      </c>
      <c r="G35" s="43">
        <v>17774699</v>
      </c>
      <c r="H35" s="44">
        <v>17293334</v>
      </c>
      <c r="I35" s="44">
        <v>15981404</v>
      </c>
      <c r="J35" s="43">
        <v>16317957</v>
      </c>
      <c r="K35" s="44">
        <v>16206472</v>
      </c>
      <c r="L35" s="44">
        <v>14941989</v>
      </c>
      <c r="M35" s="43">
        <v>15591930</v>
      </c>
      <c r="N35" s="43">
        <v>12794434</v>
      </c>
      <c r="O35" s="43">
        <v>15075576</v>
      </c>
      <c r="P35" s="43">
        <v>12972178</v>
      </c>
      <c r="Q35" s="43">
        <v>15158029</v>
      </c>
      <c r="R35" s="43">
        <v>16277939</v>
      </c>
      <c r="S35" s="43">
        <v>15646686</v>
      </c>
      <c r="U35" s="47">
        <f t="shared" si="7"/>
        <v>15694218</v>
      </c>
      <c r="V35" s="47">
        <f t="shared" si="8"/>
        <v>15646686</v>
      </c>
    </row>
    <row r="36" spans="1:22" x14ac:dyDescent="0.25">
      <c r="A36" s="39" t="s">
        <v>53</v>
      </c>
      <c r="B36" s="40">
        <v>3690</v>
      </c>
      <c r="C36" s="26">
        <v>32115</v>
      </c>
      <c r="D36" s="27">
        <v>32115</v>
      </c>
      <c r="E36" s="41" t="s">
        <v>67</v>
      </c>
      <c r="F36" s="42" t="s">
        <v>68</v>
      </c>
      <c r="G36" s="43">
        <v>14596842</v>
      </c>
      <c r="H36" s="44">
        <v>14953397</v>
      </c>
      <c r="I36" s="44">
        <v>14269648</v>
      </c>
      <c r="J36" s="43">
        <v>13911050</v>
      </c>
      <c r="K36" s="44">
        <v>14226673</v>
      </c>
      <c r="L36" s="44">
        <v>12718092</v>
      </c>
      <c r="M36" s="43">
        <v>13227588</v>
      </c>
      <c r="N36" s="43">
        <v>13867656</v>
      </c>
      <c r="O36" s="43">
        <v>14074592</v>
      </c>
      <c r="P36" s="43">
        <v>14064165</v>
      </c>
      <c r="Q36" s="43">
        <v>12938911</v>
      </c>
      <c r="R36" s="43">
        <v>13430751</v>
      </c>
      <c r="S36" s="43">
        <v>13179578</v>
      </c>
      <c r="U36" s="47">
        <f t="shared" si="7"/>
        <v>13183080</v>
      </c>
      <c r="V36" s="47">
        <f t="shared" si="8"/>
        <v>13179578</v>
      </c>
    </row>
    <row r="37" spans="1:22" x14ac:dyDescent="0.25">
      <c r="A37" s="39" t="s">
        <v>54</v>
      </c>
      <c r="B37" s="40">
        <v>3840</v>
      </c>
      <c r="C37" s="26">
        <v>32417</v>
      </c>
      <c r="D37" s="27">
        <v>32417</v>
      </c>
      <c r="E37" s="41" t="s">
        <v>67</v>
      </c>
      <c r="F37" s="42" t="s">
        <v>68</v>
      </c>
      <c r="G37" s="43">
        <v>15174501</v>
      </c>
      <c r="H37" s="44">
        <v>15938407</v>
      </c>
      <c r="I37" s="44">
        <v>15386155</v>
      </c>
      <c r="J37" s="43">
        <v>16190242</v>
      </c>
      <c r="K37" s="44">
        <v>14028640</v>
      </c>
      <c r="L37" s="44">
        <v>14813213</v>
      </c>
      <c r="M37" s="43">
        <v>13606766</v>
      </c>
      <c r="N37" s="43">
        <v>16010832</v>
      </c>
      <c r="O37" s="43">
        <v>13354702</v>
      </c>
      <c r="P37" s="43">
        <v>11290796</v>
      </c>
      <c r="Q37" s="43">
        <v>9272316</v>
      </c>
      <c r="R37" s="43">
        <v>9362475</v>
      </c>
      <c r="S37" s="43">
        <v>9395998</v>
      </c>
      <c r="U37" s="47">
        <f t="shared" si="7"/>
        <v>9343596.333333334</v>
      </c>
      <c r="V37" s="47">
        <f t="shared" si="8"/>
        <v>9395998</v>
      </c>
    </row>
    <row r="38" spans="1:22" x14ac:dyDescent="0.25">
      <c r="A38" s="39" t="s">
        <v>55</v>
      </c>
      <c r="B38" s="40">
        <v>3807</v>
      </c>
      <c r="C38" s="26">
        <v>35156</v>
      </c>
      <c r="D38" s="27">
        <v>35156</v>
      </c>
      <c r="E38" s="41" t="s">
        <v>67</v>
      </c>
      <c r="F38" s="42" t="s">
        <v>68</v>
      </c>
      <c r="G38" s="43">
        <v>13020512</v>
      </c>
      <c r="H38" s="44">
        <v>13529252</v>
      </c>
      <c r="I38" s="44">
        <v>13269678</v>
      </c>
      <c r="J38" s="43">
        <v>13087805</v>
      </c>
      <c r="K38" s="44">
        <v>12938389</v>
      </c>
      <c r="L38" s="44">
        <v>11457000</v>
      </c>
      <c r="M38" s="43">
        <v>11676494</v>
      </c>
      <c r="N38" s="43">
        <v>13612463</v>
      </c>
      <c r="O38" s="43">
        <v>13696673</v>
      </c>
      <c r="P38" s="43">
        <v>12282372</v>
      </c>
      <c r="Q38" s="43">
        <v>12773092</v>
      </c>
      <c r="R38" s="43">
        <v>11924693</v>
      </c>
      <c r="S38" s="43">
        <v>9831151</v>
      </c>
      <c r="U38" s="47">
        <f t="shared" si="7"/>
        <v>11509645.333333334</v>
      </c>
      <c r="V38" s="47">
        <f t="shared" si="8"/>
        <v>9831151</v>
      </c>
    </row>
    <row r="39" spans="1:22" x14ac:dyDescent="0.25">
      <c r="A39" s="39" t="s">
        <v>56</v>
      </c>
      <c r="B39" s="40">
        <v>1481</v>
      </c>
      <c r="C39" s="26">
        <v>24685</v>
      </c>
      <c r="D39" s="27">
        <v>38412</v>
      </c>
      <c r="E39" s="41" t="s">
        <v>67</v>
      </c>
      <c r="F39" s="42" t="s">
        <v>68</v>
      </c>
      <c r="G39" s="43">
        <v>4629763</v>
      </c>
      <c r="H39" s="44">
        <v>4329462</v>
      </c>
      <c r="I39" s="44">
        <v>8379789</v>
      </c>
      <c r="J39" s="43">
        <v>5297913</v>
      </c>
      <c r="K39" s="44">
        <v>5074264</v>
      </c>
      <c r="L39" s="44">
        <v>4560670</v>
      </c>
      <c r="M39" s="43">
        <v>4492749</v>
      </c>
      <c r="N39" s="43">
        <v>3932882</v>
      </c>
      <c r="O39" s="43">
        <v>4444025</v>
      </c>
      <c r="P39" s="43">
        <v>3277297</v>
      </c>
      <c r="Q39" s="43">
        <v>1569620</v>
      </c>
      <c r="R39" s="43">
        <v>3932224</v>
      </c>
      <c r="S39" s="43">
        <v>4129344</v>
      </c>
      <c r="U39" s="47">
        <f t="shared" si="7"/>
        <v>3210396</v>
      </c>
      <c r="V39" s="47">
        <f t="shared" si="8"/>
        <v>4129344</v>
      </c>
    </row>
    <row r="40" spans="1:22" ht="26.4" x14ac:dyDescent="0.25">
      <c r="A40" s="39" t="s">
        <v>57</v>
      </c>
      <c r="B40" s="40">
        <v>1327</v>
      </c>
      <c r="C40" s="26">
        <v>39142</v>
      </c>
      <c r="D40" s="27">
        <v>39142</v>
      </c>
      <c r="E40" s="41" t="s">
        <v>72</v>
      </c>
      <c r="F40" s="42" t="s">
        <v>70</v>
      </c>
      <c r="G40" s="43">
        <v>41305580</v>
      </c>
      <c r="H40" s="44">
        <v>121853656</v>
      </c>
      <c r="I40" s="44">
        <v>392200263</v>
      </c>
      <c r="J40" s="43">
        <v>742556464</v>
      </c>
      <c r="K40" s="44">
        <v>755437407</v>
      </c>
      <c r="L40" s="44">
        <v>792571059</v>
      </c>
      <c r="M40" s="43">
        <v>6423930</v>
      </c>
      <c r="N40" s="43">
        <v>19299663</v>
      </c>
      <c r="O40" s="43">
        <v>226778222</v>
      </c>
      <c r="P40" s="43">
        <v>258091711</v>
      </c>
      <c r="Q40" s="43">
        <v>222416419</v>
      </c>
      <c r="R40" s="43">
        <v>300686482</v>
      </c>
      <c r="S40" s="43">
        <v>418610227</v>
      </c>
      <c r="U40" s="47">
        <f t="shared" si="7"/>
        <v>313904376</v>
      </c>
      <c r="V40" s="47">
        <f t="shared" si="8"/>
        <v>418610227</v>
      </c>
    </row>
    <row r="41" spans="1:22" ht="26.4" x14ac:dyDescent="0.25">
      <c r="A41" s="39" t="s">
        <v>58</v>
      </c>
      <c r="B41" s="40">
        <v>740</v>
      </c>
      <c r="C41" s="26">
        <v>39264</v>
      </c>
      <c r="D41" s="27">
        <v>39264</v>
      </c>
      <c r="E41" s="41" t="s">
        <v>72</v>
      </c>
      <c r="F41" s="42" t="s">
        <v>70</v>
      </c>
      <c r="G41" s="43">
        <v>19144089</v>
      </c>
      <c r="H41" s="44">
        <v>96165992</v>
      </c>
      <c r="I41" s="44">
        <v>202234462</v>
      </c>
      <c r="J41" s="43">
        <v>342045029</v>
      </c>
      <c r="K41" s="44">
        <v>371048048</v>
      </c>
      <c r="L41" s="44">
        <v>408210722</v>
      </c>
      <c r="M41" s="43">
        <v>3632735</v>
      </c>
      <c r="N41" s="43">
        <v>16980038</v>
      </c>
      <c r="O41" s="43">
        <v>126036667</v>
      </c>
      <c r="P41" s="43">
        <v>158609543</v>
      </c>
      <c r="Q41" s="43">
        <v>235006567</v>
      </c>
      <c r="R41" s="43">
        <v>269555564</v>
      </c>
      <c r="S41" s="43">
        <v>515526621</v>
      </c>
      <c r="U41" s="47">
        <f t="shared" si="7"/>
        <v>340029584</v>
      </c>
      <c r="V41" s="47">
        <f t="shared" si="8"/>
        <v>515526621</v>
      </c>
    </row>
    <row r="42" spans="1:22" x14ac:dyDescent="0.25">
      <c r="A42" s="39" t="s">
        <v>59</v>
      </c>
      <c r="B42" s="40">
        <v>570</v>
      </c>
      <c r="C42" s="26">
        <v>25355</v>
      </c>
      <c r="D42" s="27">
        <v>39568</v>
      </c>
      <c r="E42" s="41" t="s">
        <v>67</v>
      </c>
      <c r="F42" s="42" t="s">
        <v>68</v>
      </c>
      <c r="G42" s="43">
        <v>2132979</v>
      </c>
      <c r="H42" s="44">
        <v>3821963</v>
      </c>
      <c r="I42" s="44">
        <v>5491180</v>
      </c>
      <c r="J42" s="43">
        <v>4613355</v>
      </c>
      <c r="K42" s="44">
        <v>3964825</v>
      </c>
      <c r="L42" s="44">
        <v>3293564</v>
      </c>
      <c r="M42" s="43">
        <v>2821309</v>
      </c>
      <c r="N42" s="43">
        <v>2080497</v>
      </c>
      <c r="O42" s="43">
        <v>1635454</v>
      </c>
      <c r="P42" s="43">
        <v>1673929</v>
      </c>
      <c r="Q42" s="43">
        <v>1938931</v>
      </c>
      <c r="R42" s="43">
        <v>1544269</v>
      </c>
      <c r="S42" s="43">
        <v>1518602</v>
      </c>
      <c r="U42" s="47">
        <f t="shared" si="7"/>
        <v>1667267.3333333333</v>
      </c>
      <c r="V42" s="47">
        <f t="shared" si="8"/>
        <v>1518602</v>
      </c>
    </row>
    <row r="43" spans="1:22" x14ac:dyDescent="0.25">
      <c r="A43" s="39" t="s">
        <v>60</v>
      </c>
      <c r="B43" s="40">
        <v>990</v>
      </c>
      <c r="C43" s="26">
        <v>22591</v>
      </c>
      <c r="D43" s="27">
        <v>39903</v>
      </c>
      <c r="E43" s="41" t="s">
        <v>67</v>
      </c>
      <c r="F43" s="42" t="s">
        <v>68</v>
      </c>
      <c r="G43" s="43">
        <v>1271010</v>
      </c>
      <c r="H43" s="44">
        <v>1390186</v>
      </c>
      <c r="I43" s="44">
        <v>4104105</v>
      </c>
      <c r="J43" s="43">
        <v>2979546</v>
      </c>
      <c r="K43" s="44">
        <v>2482388</v>
      </c>
      <c r="L43" s="44">
        <v>2494856</v>
      </c>
      <c r="M43" s="43">
        <v>2499772</v>
      </c>
      <c r="N43" s="43">
        <v>1431455</v>
      </c>
      <c r="O43" s="43">
        <v>1213163</v>
      </c>
      <c r="P43" s="43">
        <v>896134</v>
      </c>
      <c r="Q43" s="43">
        <v>402289</v>
      </c>
      <c r="R43" s="43">
        <v>335833</v>
      </c>
      <c r="S43" s="43">
        <v>197954</v>
      </c>
      <c r="U43" s="47">
        <f t="shared" si="7"/>
        <v>312025.33333333331</v>
      </c>
      <c r="V43" s="47">
        <f t="shared" si="8"/>
        <v>197954</v>
      </c>
    </row>
    <row r="44" spans="1:22" x14ac:dyDescent="0.25">
      <c r="A44" s="39" t="s">
        <v>61</v>
      </c>
      <c r="B44" s="40">
        <v>3600</v>
      </c>
      <c r="C44" s="26">
        <v>42238</v>
      </c>
      <c r="D44" s="27">
        <v>42239</v>
      </c>
      <c r="E44" s="41" t="s">
        <v>67</v>
      </c>
      <c r="F44" s="42" t="s">
        <v>68</v>
      </c>
      <c r="G44" s="46"/>
      <c r="H44" s="46"/>
      <c r="I44" s="46"/>
      <c r="J44" s="46"/>
      <c r="K44" s="46"/>
      <c r="L44" s="46"/>
      <c r="M44" s="43">
        <v>1139577</v>
      </c>
      <c r="N44" s="45">
        <v>2241474</v>
      </c>
      <c r="O44" s="43">
        <v>6917765</v>
      </c>
      <c r="P44" s="43">
        <v>10023631</v>
      </c>
      <c r="Q44" s="43">
        <v>9763379</v>
      </c>
      <c r="R44" s="43">
        <v>11351788</v>
      </c>
      <c r="S44" s="43">
        <v>11181866</v>
      </c>
      <c r="U44" s="47">
        <f t="shared" si="7"/>
        <v>10765677.666666666</v>
      </c>
      <c r="V44" s="47">
        <f t="shared" si="8"/>
        <v>11181866</v>
      </c>
    </row>
    <row r="45" spans="1:22" x14ac:dyDescent="0.25">
      <c r="A45" s="39" t="s">
        <v>62</v>
      </c>
      <c r="B45" s="40">
        <v>2880</v>
      </c>
      <c r="C45" s="26">
        <v>42977</v>
      </c>
      <c r="D45" s="27">
        <v>42977</v>
      </c>
      <c r="E45" s="41" t="s">
        <v>67</v>
      </c>
      <c r="F45" s="42" t="s">
        <v>68</v>
      </c>
      <c r="G45" s="46"/>
      <c r="H45" s="46"/>
      <c r="I45" s="46"/>
      <c r="J45" s="46"/>
      <c r="K45" s="46"/>
      <c r="L45" s="46"/>
      <c r="M45" s="46"/>
      <c r="N45" s="46"/>
      <c r="O45" s="43">
        <v>2147434</v>
      </c>
      <c r="P45" s="43">
        <v>4621851</v>
      </c>
      <c r="Q45" s="43">
        <v>5047912</v>
      </c>
      <c r="R45" s="43">
        <v>4783403</v>
      </c>
      <c r="S45" s="43">
        <v>5035930</v>
      </c>
      <c r="U45" s="47">
        <f t="shared" si="7"/>
        <v>4955748.333333333</v>
      </c>
      <c r="V45" s="47">
        <f t="shared" si="8"/>
        <v>5035930</v>
      </c>
    </row>
    <row r="47" spans="1:22" x14ac:dyDescent="0.25">
      <c r="A47" s="53" t="s">
        <v>101</v>
      </c>
    </row>
    <row r="48" spans="1:22" ht="26.4" x14ac:dyDescent="0.25">
      <c r="A48" s="35" t="s">
        <v>66</v>
      </c>
      <c r="B48" s="36" t="s">
        <v>73</v>
      </c>
      <c r="C48" s="36" t="s">
        <v>42</v>
      </c>
      <c r="D48" s="37" t="s">
        <v>26</v>
      </c>
      <c r="E48" s="37" t="s">
        <v>65</v>
      </c>
      <c r="F48" s="38" t="s">
        <v>28</v>
      </c>
      <c r="G48" s="38" t="s">
        <v>29</v>
      </c>
      <c r="H48" s="38" t="s">
        <v>30</v>
      </c>
      <c r="I48" s="38" t="s">
        <v>31</v>
      </c>
      <c r="J48" s="38" t="s">
        <v>32</v>
      </c>
      <c r="K48" s="38" t="s">
        <v>33</v>
      </c>
      <c r="L48" s="38" t="s">
        <v>34</v>
      </c>
      <c r="M48" s="38" t="s">
        <v>35</v>
      </c>
      <c r="N48" s="38" t="s">
        <v>36</v>
      </c>
      <c r="O48" s="38" t="s">
        <v>37</v>
      </c>
      <c r="P48" s="38" t="s">
        <v>38</v>
      </c>
      <c r="Q48" s="38" t="s">
        <v>39</v>
      </c>
      <c r="R48" s="38" t="s">
        <v>40</v>
      </c>
      <c r="S48" s="38" t="s">
        <v>41</v>
      </c>
    </row>
    <row r="49" spans="1:22" x14ac:dyDescent="0.25">
      <c r="A49" s="39" t="s">
        <v>43</v>
      </c>
      <c r="B49" s="40">
        <v>1098</v>
      </c>
      <c r="C49" s="26">
        <v>25700</v>
      </c>
      <c r="D49" s="27">
        <v>25700</v>
      </c>
      <c r="E49" s="41" t="s">
        <v>67</v>
      </c>
      <c r="F49" s="42" t="s">
        <v>76</v>
      </c>
      <c r="G49" s="43">
        <f>G27*_xlfn.XLOOKUP($E49,'Emission Factors'!$A$12:$A$14,'Emission Factors'!$B$12:$B$14,0,0,1)*_xlfn.XLOOKUP($E49,'Emission Factors'!$A$21:$A$23,'Emission Factors'!$B$21:$B$23,0,0,1)/1000000</f>
        <v>13238403.183443239</v>
      </c>
      <c r="H49" s="43">
        <f>H27*_xlfn.XLOOKUP($E49,'Emission Factors'!$A$12:$A$14,'Emission Factors'!$B$12:$B$14,0,0,1)*_xlfn.XLOOKUP($E49,'Emission Factors'!$A$21:$A$23,'Emission Factors'!$B$21:$B$23,0,0,1)/1000000</f>
        <v>12702128.285694478</v>
      </c>
      <c r="I49" s="43">
        <f>I27*_xlfn.XLOOKUP($E49,'Emission Factors'!$A$12:$A$14,'Emission Factors'!$B$12:$B$14,0,0,1)*_xlfn.XLOOKUP($E49,'Emission Factors'!$A$21:$A$23,'Emission Factors'!$B$21:$B$23,0,0,1)/1000000</f>
        <v>10687664.133844059</v>
      </c>
      <c r="J49" s="43">
        <f>J27*_xlfn.XLOOKUP($E49,'Emission Factors'!$A$12:$A$14,'Emission Factors'!$B$12:$B$14,0,0,1)*_xlfn.XLOOKUP($E49,'Emission Factors'!$A$21:$A$23,'Emission Factors'!$B$21:$B$23,0,0,1)/1000000</f>
        <v>9872251.9231347572</v>
      </c>
      <c r="K49" s="43">
        <f>K27*_xlfn.XLOOKUP($E49,'Emission Factors'!$A$12:$A$14,'Emission Factors'!$B$12:$B$14,0,0,1)*_xlfn.XLOOKUP($E49,'Emission Factors'!$A$21:$A$23,'Emission Factors'!$B$21:$B$23,0,0,1)/1000000</f>
        <v>12014616.382719299</v>
      </c>
      <c r="L49" s="43">
        <f>L27*_xlfn.XLOOKUP($E49,'Emission Factors'!$A$12:$A$14,'Emission Factors'!$B$12:$B$14,0,0,1)*_xlfn.XLOOKUP($E49,'Emission Factors'!$A$21:$A$23,'Emission Factors'!$B$21:$B$23,0,0,1)/1000000</f>
        <v>9194647.6860079207</v>
      </c>
      <c r="M49" s="43">
        <f>M27*_xlfn.XLOOKUP($E49,'Emission Factors'!$A$12:$A$14,'Emission Factors'!$B$12:$B$14,0,0,1)*_xlfn.XLOOKUP($E49,'Emission Factors'!$A$21:$A$23,'Emission Factors'!$B$21:$B$23,0,0,1)/1000000</f>
        <v>9949527.2663685009</v>
      </c>
      <c r="N49" s="43">
        <f>N27*_xlfn.XLOOKUP($E49,'Emission Factors'!$A$12:$A$14,'Emission Factors'!$B$12:$B$14,0,0,1)*_xlfn.XLOOKUP($E49,'Emission Factors'!$A$21:$A$23,'Emission Factors'!$B$21:$B$23,0,0,1)/1000000</f>
        <v>9563321.1482267585</v>
      </c>
      <c r="O49" s="43">
        <f>O27*_xlfn.XLOOKUP($E49,'Emission Factors'!$A$12:$A$14,'Emission Factors'!$B$12:$B$14,0,0,1)*_xlfn.XLOOKUP($E49,'Emission Factors'!$A$21:$A$23,'Emission Factors'!$B$21:$B$23,0,0,1)/1000000</f>
        <v>8764653.5047288593</v>
      </c>
      <c r="P49" s="43">
        <f>P27*_xlfn.XLOOKUP($E49,'Emission Factors'!$A$12:$A$14,'Emission Factors'!$B$12:$B$14,0,0,1)*_xlfn.XLOOKUP($E49,'Emission Factors'!$A$21:$A$23,'Emission Factors'!$B$21:$B$23,0,0,1)/1000000</f>
        <v>5697404.82226534</v>
      </c>
      <c r="Q49" s="43">
        <f>Q27*_xlfn.XLOOKUP($E49,'Emission Factors'!$A$12:$A$14,'Emission Factors'!$B$12:$B$14,0,0,1)*_xlfn.XLOOKUP($E49,'Emission Factors'!$A$21:$A$23,'Emission Factors'!$B$21:$B$23,0,0,1)/1000000</f>
        <v>5608460.20312226</v>
      </c>
      <c r="R49" s="43">
        <f>R27*_xlfn.XLOOKUP($E49,'Emission Factors'!$A$12:$A$14,'Emission Factors'!$B$12:$B$14,0,0,1)*_xlfn.XLOOKUP($E49,'Emission Factors'!$A$21:$A$23,'Emission Factors'!$B$21:$B$23,0,0,1)/1000000</f>
        <v>5609302.0672987793</v>
      </c>
      <c r="S49" s="43">
        <f>S27*_xlfn.XLOOKUP($E49,'Emission Factors'!$A$12:$A$14,'Emission Factors'!$B$12:$B$14,0,0,1)*_xlfn.XLOOKUP($E49,'Emission Factors'!$A$21:$A$23,'Emission Factors'!$B$21:$B$23,0,0,1)/1000000</f>
        <v>2756689.8089938797</v>
      </c>
      <c r="U49" s="47">
        <f t="shared" ref="U49:U67" si="9">AVERAGE(Q49:S49)</f>
        <v>4658150.693138306</v>
      </c>
      <c r="V49" s="47">
        <f t="shared" ref="V49:V67" si="10">S49</f>
        <v>2756689.8089938797</v>
      </c>
    </row>
    <row r="50" spans="1:22" x14ac:dyDescent="0.25">
      <c r="A50" s="39" t="s">
        <v>45</v>
      </c>
      <c r="B50" s="40">
        <v>2100</v>
      </c>
      <c r="C50" s="26">
        <v>26197</v>
      </c>
      <c r="D50" s="27">
        <v>26197</v>
      </c>
      <c r="E50" s="41" t="s">
        <v>67</v>
      </c>
      <c r="F50" s="42" t="s">
        <v>76</v>
      </c>
      <c r="G50" s="43">
        <f>G28*_xlfn.XLOOKUP($E50,'Emission Factors'!$A$12:$A$14,'Emission Factors'!$B$12:$B$14,0,0,1)*_xlfn.XLOOKUP($E50,'Emission Factors'!$A$21:$A$23,'Emission Factors'!$B$21:$B$23,0,0,1)/1000000</f>
        <v>12100722.0281746</v>
      </c>
      <c r="H50" s="43">
        <f>H28*_xlfn.XLOOKUP($E50,'Emission Factors'!$A$12:$A$14,'Emission Factors'!$B$12:$B$14,0,0,1)*_xlfn.XLOOKUP($E50,'Emission Factors'!$A$21:$A$23,'Emission Factors'!$B$21:$B$23,0,0,1)/1000000</f>
        <v>13046039.073434798</v>
      </c>
      <c r="I50" s="43">
        <f>I28*_xlfn.XLOOKUP($E50,'Emission Factors'!$A$12:$A$14,'Emission Factors'!$B$12:$B$14,0,0,1)*_xlfn.XLOOKUP($E50,'Emission Factors'!$A$21:$A$23,'Emission Factors'!$B$21:$B$23,0,0,1)/1000000</f>
        <v>12434357.993443338</v>
      </c>
      <c r="J50" s="43">
        <f>J28*_xlfn.XLOOKUP($E50,'Emission Factors'!$A$12:$A$14,'Emission Factors'!$B$12:$B$14,0,0,1)*_xlfn.XLOOKUP($E50,'Emission Factors'!$A$21:$A$23,'Emission Factors'!$B$21:$B$23,0,0,1)/1000000</f>
        <v>11248367.927322939</v>
      </c>
      <c r="K50" s="43">
        <f>K28*_xlfn.XLOOKUP($E50,'Emission Factors'!$A$12:$A$14,'Emission Factors'!$B$12:$B$14,0,0,1)*_xlfn.XLOOKUP($E50,'Emission Factors'!$A$21:$A$23,'Emission Factors'!$B$21:$B$23,0,0,1)/1000000</f>
        <v>10375677.429061819</v>
      </c>
      <c r="L50" s="43">
        <f>L28*_xlfn.XLOOKUP($E50,'Emission Factors'!$A$12:$A$14,'Emission Factors'!$B$12:$B$14,0,0,1)*_xlfn.XLOOKUP($E50,'Emission Factors'!$A$21:$A$23,'Emission Factors'!$B$21:$B$23,0,0,1)/1000000</f>
        <v>10875477.72691598</v>
      </c>
      <c r="M50" s="43">
        <f>M28*_xlfn.XLOOKUP($E50,'Emission Factors'!$A$12:$A$14,'Emission Factors'!$B$12:$B$14,0,0,1)*_xlfn.XLOOKUP($E50,'Emission Factors'!$A$21:$A$23,'Emission Factors'!$B$21:$B$23,0,0,1)/1000000</f>
        <v>17206086.795465436</v>
      </c>
      <c r="N50" s="43">
        <f>N28*_xlfn.XLOOKUP($E50,'Emission Factors'!$A$12:$A$14,'Emission Factors'!$B$12:$B$14,0,0,1)*_xlfn.XLOOKUP($E50,'Emission Factors'!$A$21:$A$23,'Emission Factors'!$B$21:$B$23,0,0,1)/1000000</f>
        <v>10340829.073402481</v>
      </c>
      <c r="O50" s="43">
        <f>O28*_xlfn.XLOOKUP($E50,'Emission Factors'!$A$12:$A$14,'Emission Factors'!$B$12:$B$14,0,0,1)*_xlfn.XLOOKUP($E50,'Emission Factors'!$A$21:$A$23,'Emission Factors'!$B$21:$B$23,0,0,1)/1000000</f>
        <v>10950090.257468039</v>
      </c>
      <c r="P50" s="43">
        <f>P28*_xlfn.XLOOKUP($E50,'Emission Factors'!$A$12:$A$14,'Emission Factors'!$B$12:$B$14,0,0,1)*_xlfn.XLOOKUP($E50,'Emission Factors'!$A$21:$A$23,'Emission Factors'!$B$21:$B$23,0,0,1)/1000000</f>
        <v>11064926.835855059</v>
      </c>
      <c r="Q50" s="43">
        <f>Q28*_xlfn.XLOOKUP($E50,'Emission Factors'!$A$12:$A$14,'Emission Factors'!$B$12:$B$14,0,0,1)*_xlfn.XLOOKUP($E50,'Emission Factors'!$A$21:$A$23,'Emission Factors'!$B$21:$B$23,0,0,1)/1000000</f>
        <v>10501283.935063878</v>
      </c>
      <c r="R50" s="43">
        <f>R28*_xlfn.XLOOKUP($E50,'Emission Factors'!$A$12:$A$14,'Emission Factors'!$B$12:$B$14,0,0,1)*_xlfn.XLOOKUP($E50,'Emission Factors'!$A$21:$A$23,'Emission Factors'!$B$21:$B$23,0,0,1)/1000000</f>
        <v>9617957.0206870809</v>
      </c>
      <c r="S50" s="43">
        <f>S28*_xlfn.XLOOKUP($E50,'Emission Factors'!$A$12:$A$14,'Emission Factors'!$B$12:$B$14,0,0,1)*_xlfn.XLOOKUP($E50,'Emission Factors'!$A$21:$A$23,'Emission Factors'!$B$21:$B$23,0,0,1)/1000000</f>
        <v>7961209.1164760804</v>
      </c>
      <c r="U50" s="47">
        <f t="shared" si="9"/>
        <v>9360150.0240756795</v>
      </c>
      <c r="V50" s="47">
        <f t="shared" si="10"/>
        <v>7961209.1164760804</v>
      </c>
    </row>
    <row r="51" spans="1:22" x14ac:dyDescent="0.25">
      <c r="A51" s="39" t="s">
        <v>46</v>
      </c>
      <c r="B51" s="40">
        <v>2640</v>
      </c>
      <c r="C51" s="26">
        <v>27886</v>
      </c>
      <c r="D51" s="27">
        <v>27886</v>
      </c>
      <c r="E51" s="41" t="s">
        <v>67</v>
      </c>
      <c r="F51" s="42" t="s">
        <v>76</v>
      </c>
      <c r="G51" s="43">
        <f>G29*_xlfn.XLOOKUP($E51,'Emission Factors'!$A$12:$A$14,'Emission Factors'!$B$12:$B$14,0,0,1)*_xlfn.XLOOKUP($E51,'Emission Factors'!$A$21:$A$23,'Emission Factors'!$B$21:$B$23,0,0,1)/1000000</f>
        <v>17666510.472640302</v>
      </c>
      <c r="H51" s="43">
        <f>H29*_xlfn.XLOOKUP($E51,'Emission Factors'!$A$12:$A$14,'Emission Factors'!$B$12:$B$14,0,0,1)*_xlfn.XLOOKUP($E51,'Emission Factors'!$A$21:$A$23,'Emission Factors'!$B$21:$B$23,0,0,1)/1000000</f>
        <v>15503103.117295517</v>
      </c>
      <c r="I51" s="43">
        <f>I29*_xlfn.XLOOKUP($E51,'Emission Factors'!$A$12:$A$14,'Emission Factors'!$B$12:$B$14,0,0,1)*_xlfn.XLOOKUP($E51,'Emission Factors'!$A$21:$A$23,'Emission Factors'!$B$21:$B$23,0,0,1)/1000000</f>
        <v>16508876.76552286</v>
      </c>
      <c r="J51" s="43">
        <f>J29*_xlfn.XLOOKUP($E51,'Emission Factors'!$A$12:$A$14,'Emission Factors'!$B$12:$B$14,0,0,1)*_xlfn.XLOOKUP($E51,'Emission Factors'!$A$21:$A$23,'Emission Factors'!$B$21:$B$23,0,0,1)/1000000</f>
        <v>15108370.806458538</v>
      </c>
      <c r="K51" s="43">
        <f>K29*_xlfn.XLOOKUP($E51,'Emission Factors'!$A$12:$A$14,'Emission Factors'!$B$12:$B$14,0,0,1)*_xlfn.XLOOKUP($E51,'Emission Factors'!$A$21:$A$23,'Emission Factors'!$B$21:$B$23,0,0,1)/1000000</f>
        <v>14540249.70745966</v>
      </c>
      <c r="L51" s="43">
        <f>L29*_xlfn.XLOOKUP($E51,'Emission Factors'!$A$12:$A$14,'Emission Factors'!$B$12:$B$14,0,0,1)*_xlfn.XLOOKUP($E51,'Emission Factors'!$A$21:$A$23,'Emission Factors'!$B$21:$B$23,0,0,1)/1000000</f>
        <v>16028608.087429238</v>
      </c>
      <c r="M51" s="43">
        <f>M29*_xlfn.XLOOKUP($E51,'Emission Factors'!$A$12:$A$14,'Emission Factors'!$B$12:$B$14,0,0,1)*_xlfn.XLOOKUP($E51,'Emission Factors'!$A$21:$A$23,'Emission Factors'!$B$21:$B$23,0,0,1)/1000000</f>
        <v>15011999.61016356</v>
      </c>
      <c r="N51" s="43">
        <f>N29*_xlfn.XLOOKUP($E51,'Emission Factors'!$A$12:$A$14,'Emission Factors'!$B$12:$B$14,0,0,1)*_xlfn.XLOOKUP($E51,'Emission Factors'!$A$21:$A$23,'Emission Factors'!$B$21:$B$23,0,0,1)/1000000</f>
        <v>12169498.993608799</v>
      </c>
      <c r="O51" s="43">
        <f>O29*_xlfn.XLOOKUP($E51,'Emission Factors'!$A$12:$A$14,'Emission Factors'!$B$12:$B$14,0,0,1)*_xlfn.XLOOKUP($E51,'Emission Factors'!$A$21:$A$23,'Emission Factors'!$B$21:$B$23,0,0,1)/1000000</f>
        <v>13992937.859097138</v>
      </c>
      <c r="P51" s="43">
        <f>P29*_xlfn.XLOOKUP($E51,'Emission Factors'!$A$12:$A$14,'Emission Factors'!$B$12:$B$14,0,0,1)*_xlfn.XLOOKUP($E51,'Emission Factors'!$A$21:$A$23,'Emission Factors'!$B$21:$B$23,0,0,1)/1000000</f>
        <v>15518011.901390716</v>
      </c>
      <c r="Q51" s="43">
        <f>Q29*_xlfn.XLOOKUP($E51,'Emission Factors'!$A$12:$A$14,'Emission Factors'!$B$12:$B$14,0,0,1)*_xlfn.XLOOKUP($E51,'Emission Factors'!$A$21:$A$23,'Emission Factors'!$B$21:$B$23,0,0,1)/1000000</f>
        <v>12414270.075768799</v>
      </c>
      <c r="R51" s="43">
        <f>R29*_xlfn.XLOOKUP($E51,'Emission Factors'!$A$12:$A$14,'Emission Factors'!$B$12:$B$14,0,0,1)*_xlfn.XLOOKUP($E51,'Emission Factors'!$A$21:$A$23,'Emission Factors'!$B$21:$B$23,0,0,1)/1000000</f>
        <v>14535035.3416791</v>
      </c>
      <c r="S51" s="43">
        <f>S29*_xlfn.XLOOKUP($E51,'Emission Factors'!$A$12:$A$14,'Emission Factors'!$B$12:$B$14,0,0,1)*_xlfn.XLOOKUP($E51,'Emission Factors'!$A$21:$A$23,'Emission Factors'!$B$21:$B$23,0,0,1)/1000000</f>
        <v>12730186.098150257</v>
      </c>
      <c r="U51" s="47">
        <f t="shared" si="9"/>
        <v>13226497.171866052</v>
      </c>
      <c r="V51" s="47">
        <f t="shared" si="10"/>
        <v>12730186.098150257</v>
      </c>
    </row>
    <row r="52" spans="1:22" x14ac:dyDescent="0.25">
      <c r="A52" s="39" t="s">
        <v>47</v>
      </c>
      <c r="B52" s="40">
        <v>171</v>
      </c>
      <c r="C52" s="26">
        <v>27893</v>
      </c>
      <c r="D52" s="27">
        <v>27893</v>
      </c>
      <c r="E52" s="41" t="s">
        <v>78</v>
      </c>
      <c r="F52" s="42" t="s">
        <v>76</v>
      </c>
      <c r="G52" s="43">
        <f>G30*_xlfn.XLOOKUP($E52,'Emission Factors'!$A$12:$A$14,'Emission Factors'!$B$12:$B$14,0,0,1)*_xlfn.XLOOKUP($E52,'Emission Factors'!$A$21:$A$23,'Emission Factors'!$B$21:$B$23,0,0,1)/1000000</f>
        <v>1170.4816363499999</v>
      </c>
      <c r="H52" s="43">
        <f>H30*_xlfn.XLOOKUP($E52,'Emission Factors'!$A$12:$A$14,'Emission Factors'!$B$12:$B$14,0,0,1)*_xlfn.XLOOKUP($E52,'Emission Factors'!$A$21:$A$23,'Emission Factors'!$B$21:$B$23,0,0,1)/1000000</f>
        <v>1217.4685204499999</v>
      </c>
      <c r="I52" s="43">
        <f>I30*_xlfn.XLOOKUP($E52,'Emission Factors'!$A$12:$A$14,'Emission Factors'!$B$12:$B$14,0,0,1)*_xlfn.XLOOKUP($E52,'Emission Factors'!$A$21:$A$23,'Emission Factors'!$B$21:$B$23,0,0,1)/1000000</f>
        <v>9473.6890755000004</v>
      </c>
      <c r="J52" s="43">
        <f>J30*_xlfn.XLOOKUP($E52,'Emission Factors'!$A$12:$A$14,'Emission Factors'!$B$12:$B$14,0,0,1)*_xlfn.XLOOKUP($E52,'Emission Factors'!$A$21:$A$23,'Emission Factors'!$B$21:$B$23,0,0,1)/1000000</f>
        <v>52983.404332949998</v>
      </c>
      <c r="K52" s="43">
        <f>K30*_xlfn.XLOOKUP($E52,'Emission Factors'!$A$12:$A$14,'Emission Factors'!$B$12:$B$14,0,0,1)*_xlfn.XLOOKUP($E52,'Emission Factors'!$A$21:$A$23,'Emission Factors'!$B$21:$B$23,0,0,1)/1000000</f>
        <v>65381.507410049999</v>
      </c>
      <c r="L52" s="43">
        <f>L30*_xlfn.XLOOKUP($E52,'Emission Factors'!$A$12:$A$14,'Emission Factors'!$B$12:$B$14,0,0,1)*_xlfn.XLOOKUP($E52,'Emission Factors'!$A$21:$A$23,'Emission Factors'!$B$21:$B$23,0,0,1)/1000000</f>
        <v>52503.318435749992</v>
      </c>
      <c r="M52" s="43">
        <f>M30*_xlfn.XLOOKUP($E52,'Emission Factors'!$A$12:$A$14,'Emission Factors'!$B$12:$B$14,0,0,1)*_xlfn.XLOOKUP($E52,'Emission Factors'!$A$21:$A$23,'Emission Factors'!$B$21:$B$23,0,0,1)/1000000</f>
        <v>200.09804685</v>
      </c>
      <c r="N52" s="43">
        <f>N30*_xlfn.XLOOKUP($E52,'Emission Factors'!$A$12:$A$14,'Emission Factors'!$B$12:$B$14,0,0,1)*_xlfn.XLOOKUP($E52,'Emission Factors'!$A$21:$A$23,'Emission Factors'!$B$21:$B$23,0,0,1)/1000000</f>
        <v>192.14589419999999</v>
      </c>
      <c r="O52" s="43">
        <f>O30*_xlfn.XLOOKUP($E52,'Emission Factors'!$A$12:$A$14,'Emission Factors'!$B$12:$B$14,0,0,1)*_xlfn.XLOOKUP($E52,'Emission Factors'!$A$21:$A$23,'Emission Factors'!$B$21:$B$23,0,0,1)/1000000</f>
        <v>1639.0588772999999</v>
      </c>
      <c r="P52" s="43">
        <f>P30*_xlfn.XLOOKUP($E52,'Emission Factors'!$A$12:$A$14,'Emission Factors'!$B$12:$B$14,0,0,1)*_xlfn.XLOOKUP($E52,'Emission Factors'!$A$21:$A$23,'Emission Factors'!$B$21:$B$23,0,0,1)/1000000</f>
        <v>566.41265654999995</v>
      </c>
      <c r="Q52" s="43">
        <f>Q30*_xlfn.XLOOKUP($E52,'Emission Factors'!$A$12:$A$14,'Emission Factors'!$B$12:$B$14,0,0,1)*_xlfn.XLOOKUP($E52,'Emission Factors'!$A$21:$A$23,'Emission Factors'!$B$21:$B$23,0,0,1)/1000000</f>
        <v>1456.4934461999999</v>
      </c>
      <c r="R52" s="43">
        <f>R30*_xlfn.XLOOKUP($E52,'Emission Factors'!$A$12:$A$14,'Emission Factors'!$B$12:$B$14,0,0,1)*_xlfn.XLOOKUP($E52,'Emission Factors'!$A$21:$A$23,'Emission Factors'!$B$21:$B$23,0,0,1)/1000000</f>
        <v>922.51547114999994</v>
      </c>
      <c r="S52" s="43">
        <f>S30*_xlfn.XLOOKUP($E52,'Emission Factors'!$A$12:$A$14,'Emission Factors'!$B$12:$B$14,0,0,1)*_xlfn.XLOOKUP($E52,'Emission Factors'!$A$21:$A$23,'Emission Factors'!$B$21:$B$23,0,0,1)/1000000</f>
        <v>1090.0236340500001</v>
      </c>
      <c r="U52" s="47">
        <f t="shared" si="9"/>
        <v>1156.3441838000001</v>
      </c>
      <c r="V52" s="47">
        <f t="shared" si="10"/>
        <v>1090.0236340500001</v>
      </c>
    </row>
    <row r="53" spans="1:22" x14ac:dyDescent="0.25">
      <c r="A53" s="39" t="s">
        <v>48</v>
      </c>
      <c r="B53" s="40">
        <v>171</v>
      </c>
      <c r="C53" s="26">
        <v>28033</v>
      </c>
      <c r="D53" s="27">
        <v>28033</v>
      </c>
      <c r="E53" s="41" t="s">
        <v>78</v>
      </c>
      <c r="F53" s="42" t="s">
        <v>76</v>
      </c>
      <c r="G53" s="43">
        <f>G31*_xlfn.XLOOKUP($E53,'Emission Factors'!$A$12:$A$14,'Emission Factors'!$B$12:$B$14,0,0,1)*_xlfn.XLOOKUP($E53,'Emission Factors'!$A$21:$A$23,'Emission Factors'!$B$21:$B$23,0,0,1)/1000000</f>
        <v>741.65989754999998</v>
      </c>
      <c r="H53" s="43">
        <f>H31*_xlfn.XLOOKUP($E53,'Emission Factors'!$A$12:$A$14,'Emission Factors'!$B$12:$B$14,0,0,1)*_xlfn.XLOOKUP($E53,'Emission Factors'!$A$21:$A$23,'Emission Factors'!$B$21:$B$23,0,0,1)/1000000</f>
        <v>2178.1322276999999</v>
      </c>
      <c r="I53" s="43">
        <f>I31*_xlfn.XLOOKUP($E53,'Emission Factors'!$A$12:$A$14,'Emission Factors'!$B$12:$B$14,0,0,1)*_xlfn.XLOOKUP($E53,'Emission Factors'!$A$21:$A$23,'Emission Factors'!$B$21:$B$23,0,0,1)/1000000</f>
        <v>10548.91323525</v>
      </c>
      <c r="J53" s="43">
        <f>J31*_xlfn.XLOOKUP($E53,'Emission Factors'!$A$12:$A$14,'Emission Factors'!$B$12:$B$14,0,0,1)*_xlfn.XLOOKUP($E53,'Emission Factors'!$A$21:$A$23,'Emission Factors'!$B$21:$B$23,0,0,1)/1000000</f>
        <v>68489.604826499999</v>
      </c>
      <c r="K53" s="43">
        <f>K31*_xlfn.XLOOKUP($E53,'Emission Factors'!$A$12:$A$14,'Emission Factors'!$B$12:$B$14,0,0,1)*_xlfn.XLOOKUP($E53,'Emission Factors'!$A$21:$A$23,'Emission Factors'!$B$21:$B$23,0,0,1)/1000000</f>
        <v>62601.294898349995</v>
      </c>
      <c r="L53" s="43">
        <f>L31*_xlfn.XLOOKUP($E53,'Emission Factors'!$A$12:$A$14,'Emission Factors'!$B$12:$B$14,0,0,1)*_xlfn.XLOOKUP($E53,'Emission Factors'!$A$21:$A$23,'Emission Factors'!$B$21:$B$23,0,0,1)/1000000</f>
        <v>63747.762243749996</v>
      </c>
      <c r="M53" s="43">
        <f>M31*_xlfn.XLOOKUP($E53,'Emission Factors'!$A$12:$A$14,'Emission Factors'!$B$12:$B$14,0,0,1)*_xlfn.XLOOKUP($E53,'Emission Factors'!$A$21:$A$23,'Emission Factors'!$B$21:$B$23,0,0,1)/1000000</f>
        <v>97.012053449999982</v>
      </c>
      <c r="N53" s="43">
        <f>N31*_xlfn.XLOOKUP($E53,'Emission Factors'!$A$12:$A$14,'Emission Factors'!$B$12:$B$14,0,0,1)*_xlfn.XLOOKUP($E53,'Emission Factors'!$A$21:$A$23,'Emission Factors'!$B$21:$B$23,0,0,1)/1000000</f>
        <v>120.94742789999999</v>
      </c>
      <c r="O53" s="43">
        <f>O31*_xlfn.XLOOKUP($E53,'Emission Factors'!$A$12:$A$14,'Emission Factors'!$B$12:$B$14,0,0,1)*_xlfn.XLOOKUP($E53,'Emission Factors'!$A$21:$A$23,'Emission Factors'!$B$21:$B$23,0,0,1)/1000000</f>
        <v>1748.6370680999999</v>
      </c>
      <c r="P53" s="43">
        <f>P31*_xlfn.XLOOKUP($E53,'Emission Factors'!$A$12:$A$14,'Emission Factors'!$B$12:$B$14,0,0,1)*_xlfn.XLOOKUP($E53,'Emission Factors'!$A$21:$A$23,'Emission Factors'!$B$21:$B$23,0,0,1)/1000000</f>
        <v>463.43714624999996</v>
      </c>
      <c r="Q53" s="43">
        <f>Q31*_xlfn.XLOOKUP($E53,'Emission Factors'!$A$12:$A$14,'Emission Factors'!$B$12:$B$14,0,0,1)*_xlfn.XLOOKUP($E53,'Emission Factors'!$A$21:$A$23,'Emission Factors'!$B$21:$B$23,0,0,1)/1000000</f>
        <v>1618.5958288499999</v>
      </c>
      <c r="R53" s="43">
        <f>R31*_xlfn.XLOOKUP($E53,'Emission Factors'!$A$12:$A$14,'Emission Factors'!$B$12:$B$14,0,0,1)*_xlfn.XLOOKUP($E53,'Emission Factors'!$A$21:$A$23,'Emission Factors'!$B$21:$B$23,0,0,1)/1000000</f>
        <v>957.89899919999993</v>
      </c>
      <c r="S53" s="43">
        <f>S31*_xlfn.XLOOKUP($E53,'Emission Factors'!$A$12:$A$14,'Emission Factors'!$B$12:$B$14,0,0,1)*_xlfn.XLOOKUP($E53,'Emission Factors'!$A$21:$A$23,'Emission Factors'!$B$21:$B$23,0,0,1)/1000000</f>
        <v>2876.2591532999995</v>
      </c>
      <c r="U53" s="47">
        <f t="shared" si="9"/>
        <v>1817.5846604499995</v>
      </c>
      <c r="V53" s="47">
        <f t="shared" si="10"/>
        <v>2876.2591532999995</v>
      </c>
    </row>
    <row r="54" spans="1:22" x14ac:dyDescent="0.25">
      <c r="A54" s="39" t="s">
        <v>49</v>
      </c>
      <c r="B54" s="40">
        <v>3450</v>
      </c>
      <c r="C54" s="26">
        <v>29127</v>
      </c>
      <c r="D54" s="27">
        <v>29127</v>
      </c>
      <c r="E54" s="41" t="s">
        <v>67</v>
      </c>
      <c r="F54" s="42" t="s">
        <v>76</v>
      </c>
      <c r="G54" s="43">
        <f>G32*_xlfn.XLOOKUP($E54,'Emission Factors'!$A$12:$A$14,'Emission Factors'!$B$12:$B$14,0,0,1)*_xlfn.XLOOKUP($E54,'Emission Factors'!$A$21:$A$23,'Emission Factors'!$B$21:$B$23,0,0,1)/1000000</f>
        <v>22540117.820305977</v>
      </c>
      <c r="H54" s="43">
        <f>H32*_xlfn.XLOOKUP($E54,'Emission Factors'!$A$12:$A$14,'Emission Factors'!$B$12:$B$14,0,0,1)*_xlfn.XLOOKUP($E54,'Emission Factors'!$A$21:$A$23,'Emission Factors'!$B$21:$B$23,0,0,1)/1000000</f>
        <v>21079094.065503977</v>
      </c>
      <c r="I54" s="43">
        <f>I32*_xlfn.XLOOKUP($E54,'Emission Factors'!$A$12:$A$14,'Emission Factors'!$B$12:$B$14,0,0,1)*_xlfn.XLOOKUP($E54,'Emission Factors'!$A$21:$A$23,'Emission Factors'!$B$21:$B$23,0,0,1)/1000000</f>
        <v>22380527.074737661</v>
      </c>
      <c r="J54" s="43">
        <f>J32*_xlfn.XLOOKUP($E54,'Emission Factors'!$A$12:$A$14,'Emission Factors'!$B$12:$B$14,0,0,1)*_xlfn.XLOOKUP($E54,'Emission Factors'!$A$21:$A$23,'Emission Factors'!$B$21:$B$23,0,0,1)/1000000</f>
        <v>18684900.95755716</v>
      </c>
      <c r="K54" s="43">
        <f>K32*_xlfn.XLOOKUP($E54,'Emission Factors'!$A$12:$A$14,'Emission Factors'!$B$12:$B$14,0,0,1)*_xlfn.XLOOKUP($E54,'Emission Factors'!$A$21:$A$23,'Emission Factors'!$B$21:$B$23,0,0,1)/1000000</f>
        <v>21292912.731729016</v>
      </c>
      <c r="L54" s="43">
        <f>L32*_xlfn.XLOOKUP($E54,'Emission Factors'!$A$12:$A$14,'Emission Factors'!$B$12:$B$14,0,0,1)*_xlfn.XLOOKUP($E54,'Emission Factors'!$A$21:$A$23,'Emission Factors'!$B$21:$B$23,0,0,1)/1000000</f>
        <v>21601780.459540099</v>
      </c>
      <c r="M54" s="43">
        <f>M32*_xlfn.XLOOKUP($E54,'Emission Factors'!$A$12:$A$14,'Emission Factors'!$B$12:$B$14,0,0,1)*_xlfn.XLOOKUP($E54,'Emission Factors'!$A$21:$A$23,'Emission Factors'!$B$21:$B$23,0,0,1)/1000000</f>
        <v>20289188.114151578</v>
      </c>
      <c r="N54" s="43">
        <f>N32*_xlfn.XLOOKUP($E54,'Emission Factors'!$A$12:$A$14,'Emission Factors'!$B$12:$B$14,0,0,1)*_xlfn.XLOOKUP($E54,'Emission Factors'!$A$21:$A$23,'Emission Factors'!$B$21:$B$23,0,0,1)/1000000</f>
        <v>21026323.645381939</v>
      </c>
      <c r="O54" s="43">
        <f>O32*_xlfn.XLOOKUP($E54,'Emission Factors'!$A$12:$A$14,'Emission Factors'!$B$12:$B$14,0,0,1)*_xlfn.XLOOKUP($E54,'Emission Factors'!$A$21:$A$23,'Emission Factors'!$B$21:$B$23,0,0,1)/1000000</f>
        <v>20157912.932405859</v>
      </c>
      <c r="P54" s="43">
        <f>P32*_xlfn.XLOOKUP($E54,'Emission Factors'!$A$12:$A$14,'Emission Factors'!$B$12:$B$14,0,0,1)*_xlfn.XLOOKUP($E54,'Emission Factors'!$A$21:$A$23,'Emission Factors'!$B$21:$B$23,0,0,1)/1000000</f>
        <v>20930590.337361675</v>
      </c>
      <c r="Q54" s="43">
        <f>Q32*_xlfn.XLOOKUP($E54,'Emission Factors'!$A$12:$A$14,'Emission Factors'!$B$12:$B$14,0,0,1)*_xlfn.XLOOKUP($E54,'Emission Factors'!$A$21:$A$23,'Emission Factors'!$B$21:$B$23,0,0,1)/1000000</f>
        <v>19831976.130266879</v>
      </c>
      <c r="R54" s="43">
        <f>R32*_xlfn.XLOOKUP($E54,'Emission Factors'!$A$12:$A$14,'Emission Factors'!$B$12:$B$14,0,0,1)*_xlfn.XLOOKUP($E54,'Emission Factors'!$A$21:$A$23,'Emission Factors'!$B$21:$B$23,0,0,1)/1000000</f>
        <v>20106290.34031304</v>
      </c>
      <c r="S54" s="43">
        <f>S32*_xlfn.XLOOKUP($E54,'Emission Factors'!$A$12:$A$14,'Emission Factors'!$B$12:$B$14,0,0,1)*_xlfn.XLOOKUP($E54,'Emission Factors'!$A$21:$A$23,'Emission Factors'!$B$21:$B$23,0,0,1)/1000000</f>
        <v>17682941.658693478</v>
      </c>
      <c r="U54" s="47">
        <f t="shared" si="9"/>
        <v>19207069.376424465</v>
      </c>
      <c r="V54" s="47">
        <f t="shared" si="10"/>
        <v>17682941.658693478</v>
      </c>
    </row>
    <row r="55" spans="1:22" x14ac:dyDescent="0.25">
      <c r="A55" s="39" t="s">
        <v>50</v>
      </c>
      <c r="B55" s="40">
        <v>2875</v>
      </c>
      <c r="C55" s="26">
        <v>29238</v>
      </c>
      <c r="D55" s="27">
        <v>29238</v>
      </c>
      <c r="E55" s="41" t="s">
        <v>67</v>
      </c>
      <c r="F55" s="42" t="s">
        <v>76</v>
      </c>
      <c r="G55" s="43">
        <f>G33*_xlfn.XLOOKUP($E55,'Emission Factors'!$A$12:$A$14,'Emission Factors'!$B$12:$B$14,0,0,1)*_xlfn.XLOOKUP($E55,'Emission Factors'!$A$21:$A$23,'Emission Factors'!$B$21:$B$23,0,0,1)/1000000</f>
        <v>19728907.10708734</v>
      </c>
      <c r="H55" s="43">
        <f>H33*_xlfn.XLOOKUP($E55,'Emission Factors'!$A$12:$A$14,'Emission Factors'!$B$12:$B$14,0,0,1)*_xlfn.XLOOKUP($E55,'Emission Factors'!$A$21:$A$23,'Emission Factors'!$B$21:$B$23,0,0,1)/1000000</f>
        <v>16974822.626657359</v>
      </c>
      <c r="I55" s="43">
        <f>I33*_xlfn.XLOOKUP($E55,'Emission Factors'!$A$12:$A$14,'Emission Factors'!$B$12:$B$14,0,0,1)*_xlfn.XLOOKUP($E55,'Emission Factors'!$A$21:$A$23,'Emission Factors'!$B$21:$B$23,0,0,1)/1000000</f>
        <v>16889966.797182176</v>
      </c>
      <c r="J55" s="43">
        <f>J33*_xlfn.XLOOKUP($E55,'Emission Factors'!$A$12:$A$14,'Emission Factors'!$B$12:$B$14,0,0,1)*_xlfn.XLOOKUP($E55,'Emission Factors'!$A$21:$A$23,'Emission Factors'!$B$21:$B$23,0,0,1)/1000000</f>
        <v>18064133.6783037</v>
      </c>
      <c r="K55" s="43">
        <f>K33*_xlfn.XLOOKUP($E55,'Emission Factors'!$A$12:$A$14,'Emission Factors'!$B$12:$B$14,0,0,1)*_xlfn.XLOOKUP($E55,'Emission Factors'!$A$21:$A$23,'Emission Factors'!$B$21:$B$23,0,0,1)/1000000</f>
        <v>13462413.227452761</v>
      </c>
      <c r="L55" s="43">
        <f>L33*_xlfn.XLOOKUP($E55,'Emission Factors'!$A$12:$A$14,'Emission Factors'!$B$12:$B$14,0,0,1)*_xlfn.XLOOKUP($E55,'Emission Factors'!$A$21:$A$23,'Emission Factors'!$B$21:$B$23,0,0,1)/1000000</f>
        <v>14092392.80016206</v>
      </c>
      <c r="M55" s="43">
        <f>M33*_xlfn.XLOOKUP($E55,'Emission Factors'!$A$12:$A$14,'Emission Factors'!$B$12:$B$14,0,0,1)*_xlfn.XLOOKUP($E55,'Emission Factors'!$A$21:$A$23,'Emission Factors'!$B$21:$B$23,0,0,1)/1000000</f>
        <v>15738430.115202177</v>
      </c>
      <c r="N55" s="43">
        <f>N33*_xlfn.XLOOKUP($E55,'Emission Factors'!$A$12:$A$14,'Emission Factors'!$B$12:$B$14,0,0,1)*_xlfn.XLOOKUP($E55,'Emission Factors'!$A$21:$A$23,'Emission Factors'!$B$21:$B$23,0,0,1)/1000000</f>
        <v>12762186.208489919</v>
      </c>
      <c r="O55" s="43">
        <f>O33*_xlfn.XLOOKUP($E55,'Emission Factors'!$A$12:$A$14,'Emission Factors'!$B$12:$B$14,0,0,1)*_xlfn.XLOOKUP($E55,'Emission Factors'!$A$21:$A$23,'Emission Factors'!$B$21:$B$23,0,0,1)/1000000</f>
        <v>11423062.16125636</v>
      </c>
      <c r="P55" s="43">
        <f>P33*_xlfn.XLOOKUP($E55,'Emission Factors'!$A$12:$A$14,'Emission Factors'!$B$12:$B$14,0,0,1)*_xlfn.XLOOKUP($E55,'Emission Factors'!$A$21:$A$23,'Emission Factors'!$B$21:$B$23,0,0,1)/1000000</f>
        <v>11525309.717849558</v>
      </c>
      <c r="Q55" s="43">
        <f>Q33*_xlfn.XLOOKUP($E55,'Emission Factors'!$A$12:$A$14,'Emission Factors'!$B$12:$B$14,0,0,1)*_xlfn.XLOOKUP($E55,'Emission Factors'!$A$21:$A$23,'Emission Factors'!$B$21:$B$23,0,0,1)/1000000</f>
        <v>12203321.906780001</v>
      </c>
      <c r="R55" s="43">
        <f>R33*_xlfn.XLOOKUP($E55,'Emission Factors'!$A$12:$A$14,'Emission Factors'!$B$12:$B$14,0,0,1)*_xlfn.XLOOKUP($E55,'Emission Factors'!$A$21:$A$23,'Emission Factors'!$B$21:$B$23,0,0,1)/1000000</f>
        <v>10629360.403804099</v>
      </c>
      <c r="S55" s="43">
        <f>S33*_xlfn.XLOOKUP($E55,'Emission Factors'!$A$12:$A$14,'Emission Factors'!$B$12:$B$14,0,0,1)*_xlfn.XLOOKUP($E55,'Emission Factors'!$A$21:$A$23,'Emission Factors'!$B$21:$B$23,0,0,1)/1000000</f>
        <v>10065672.999179799</v>
      </c>
      <c r="U55" s="47">
        <f t="shared" si="9"/>
        <v>10966118.436587965</v>
      </c>
      <c r="V55" s="47">
        <f t="shared" si="10"/>
        <v>10065672.999179799</v>
      </c>
    </row>
    <row r="56" spans="1:22" x14ac:dyDescent="0.25">
      <c r="A56" s="39" t="s">
        <v>51</v>
      </c>
      <c r="B56" s="40">
        <v>3510</v>
      </c>
      <c r="C56" s="26">
        <v>31199</v>
      </c>
      <c r="D56" s="27">
        <v>31199</v>
      </c>
      <c r="E56" s="41" t="s">
        <v>67</v>
      </c>
      <c r="F56" s="42" t="s">
        <v>76</v>
      </c>
      <c r="G56" s="43">
        <f>G34*_xlfn.XLOOKUP($E56,'Emission Factors'!$A$12:$A$14,'Emission Factors'!$B$12:$B$14,0,0,1)*_xlfn.XLOOKUP($E56,'Emission Factors'!$A$21:$A$23,'Emission Factors'!$B$21:$B$23,0,0,1)/1000000</f>
        <v>18898754.855983417</v>
      </c>
      <c r="H56" s="43">
        <f>H34*_xlfn.XLOOKUP($E56,'Emission Factors'!$A$12:$A$14,'Emission Factors'!$B$12:$B$14,0,0,1)*_xlfn.XLOOKUP($E56,'Emission Factors'!$A$21:$A$23,'Emission Factors'!$B$21:$B$23,0,0,1)/1000000</f>
        <v>21080323.48389392</v>
      </c>
      <c r="I56" s="43">
        <f>I34*_xlfn.XLOOKUP($E56,'Emission Factors'!$A$12:$A$14,'Emission Factors'!$B$12:$B$14,0,0,1)*_xlfn.XLOOKUP($E56,'Emission Factors'!$A$21:$A$23,'Emission Factors'!$B$21:$B$23,0,0,1)/1000000</f>
        <v>20329002.35585656</v>
      </c>
      <c r="J56" s="43">
        <f>J34*_xlfn.XLOOKUP($E56,'Emission Factors'!$A$12:$A$14,'Emission Factors'!$B$12:$B$14,0,0,1)*_xlfn.XLOOKUP($E56,'Emission Factors'!$A$21:$A$23,'Emission Factors'!$B$21:$B$23,0,0,1)/1000000</f>
        <v>19774339.957723718</v>
      </c>
      <c r="K56" s="43">
        <f>K34*_xlfn.XLOOKUP($E56,'Emission Factors'!$A$12:$A$14,'Emission Factors'!$B$12:$B$14,0,0,1)*_xlfn.XLOOKUP($E56,'Emission Factors'!$A$21:$A$23,'Emission Factors'!$B$21:$B$23,0,0,1)/1000000</f>
        <v>21507575.116456959</v>
      </c>
      <c r="L56" s="43">
        <f>L34*_xlfn.XLOOKUP($E56,'Emission Factors'!$A$12:$A$14,'Emission Factors'!$B$12:$B$14,0,0,1)*_xlfn.XLOOKUP($E56,'Emission Factors'!$A$21:$A$23,'Emission Factors'!$B$21:$B$23,0,0,1)/1000000</f>
        <v>19374007.581219137</v>
      </c>
      <c r="M56" s="43">
        <f>M34*_xlfn.XLOOKUP($E56,'Emission Factors'!$A$12:$A$14,'Emission Factors'!$B$12:$B$14,0,0,1)*_xlfn.XLOOKUP($E56,'Emission Factors'!$A$21:$A$23,'Emission Factors'!$B$21:$B$23,0,0,1)/1000000</f>
        <v>17206086.795465436</v>
      </c>
      <c r="N56" s="43">
        <f>N34*_xlfn.XLOOKUP($E56,'Emission Factors'!$A$12:$A$14,'Emission Factors'!$B$12:$B$14,0,0,1)*_xlfn.XLOOKUP($E56,'Emission Factors'!$A$21:$A$23,'Emission Factors'!$B$21:$B$23,0,0,1)/1000000</f>
        <v>17473999.870847836</v>
      </c>
      <c r="O56" s="43">
        <f>O34*_xlfn.XLOOKUP($E56,'Emission Factors'!$A$12:$A$14,'Emission Factors'!$B$12:$B$14,0,0,1)*_xlfn.XLOOKUP($E56,'Emission Factors'!$A$21:$A$23,'Emission Factors'!$B$21:$B$23,0,0,1)/1000000</f>
        <v>16831349.685983997</v>
      </c>
      <c r="P56" s="43">
        <f>P34*_xlfn.XLOOKUP($E56,'Emission Factors'!$A$12:$A$14,'Emission Factors'!$B$12:$B$14,0,0,1)*_xlfn.XLOOKUP($E56,'Emission Factors'!$A$21:$A$23,'Emission Factors'!$B$21:$B$23,0,0,1)/1000000</f>
        <v>13916333.782012958</v>
      </c>
      <c r="Q56" s="43">
        <f>Q34*_xlfn.XLOOKUP($E56,'Emission Factors'!$A$12:$A$14,'Emission Factors'!$B$12:$B$14,0,0,1)*_xlfn.XLOOKUP($E56,'Emission Factors'!$A$21:$A$23,'Emission Factors'!$B$21:$B$23,0,0,1)/1000000</f>
        <v>12418944.832572777</v>
      </c>
      <c r="R56" s="43">
        <f>R34*_xlfn.XLOOKUP($E56,'Emission Factors'!$A$12:$A$14,'Emission Factors'!$B$12:$B$14,0,0,1)*_xlfn.XLOOKUP($E56,'Emission Factors'!$A$21:$A$23,'Emission Factors'!$B$21:$B$23,0,0,1)/1000000</f>
        <v>10217735.179645319</v>
      </c>
      <c r="S56" s="43">
        <f>S34*_xlfn.XLOOKUP($E56,'Emission Factors'!$A$12:$A$14,'Emission Factors'!$B$12:$B$14,0,0,1)*_xlfn.XLOOKUP($E56,'Emission Factors'!$A$21:$A$23,'Emission Factors'!$B$21:$B$23,0,0,1)/1000000</f>
        <v>8709795.113102939</v>
      </c>
      <c r="U56" s="47">
        <f t="shared" si="9"/>
        <v>10448825.041773679</v>
      </c>
      <c r="V56" s="47">
        <f t="shared" si="10"/>
        <v>8709795.113102939</v>
      </c>
    </row>
    <row r="57" spans="1:22" x14ac:dyDescent="0.25">
      <c r="A57" s="39" t="s">
        <v>52</v>
      </c>
      <c r="B57" s="40">
        <v>3558</v>
      </c>
      <c r="C57" s="26">
        <v>31403</v>
      </c>
      <c r="D57" s="27">
        <v>31403</v>
      </c>
      <c r="E57" s="41" t="s">
        <v>67</v>
      </c>
      <c r="F57" s="42" t="s">
        <v>76</v>
      </c>
      <c r="G57" s="43">
        <f>G35*_xlfn.XLOOKUP($E57,'Emission Factors'!$A$12:$A$14,'Emission Factors'!$B$12:$B$14,0,0,1)*_xlfn.XLOOKUP($E57,'Emission Factors'!$A$21:$A$23,'Emission Factors'!$B$21:$B$23,0,0,1)/1000000</f>
        <v>32960093.25225962</v>
      </c>
      <c r="H57" s="43">
        <f>H35*_xlfn.XLOOKUP($E57,'Emission Factors'!$A$12:$A$14,'Emission Factors'!$B$12:$B$14,0,0,1)*_xlfn.XLOOKUP($E57,'Emission Factors'!$A$21:$A$23,'Emission Factors'!$B$21:$B$23,0,0,1)/1000000</f>
        <v>32067485.434350919</v>
      </c>
      <c r="I57" s="43">
        <f>I35*_xlfn.XLOOKUP($E57,'Emission Factors'!$A$12:$A$14,'Emission Factors'!$B$12:$B$14,0,0,1)*_xlfn.XLOOKUP($E57,'Emission Factors'!$A$21:$A$23,'Emission Factors'!$B$21:$B$23,0,0,1)/1000000</f>
        <v>29634739.026637521</v>
      </c>
      <c r="J57" s="43">
        <f>J35*_xlfn.XLOOKUP($E57,'Emission Factors'!$A$12:$A$14,'Emission Factors'!$B$12:$B$14,0,0,1)*_xlfn.XLOOKUP($E57,'Emission Factors'!$A$21:$A$23,'Emission Factors'!$B$21:$B$23,0,0,1)/1000000</f>
        <v>30258818.132805657</v>
      </c>
      <c r="K57" s="43">
        <f>K35*_xlfn.XLOOKUP($E57,'Emission Factors'!$A$12:$A$14,'Emission Factors'!$B$12:$B$14,0,0,1)*_xlfn.XLOOKUP($E57,'Emission Factors'!$A$21:$A$23,'Emission Factors'!$B$21:$B$23,0,0,1)/1000000</f>
        <v>30052088.556331355</v>
      </c>
      <c r="L57" s="43">
        <f>L35*_xlfn.XLOOKUP($E57,'Emission Factors'!$A$12:$A$14,'Emission Factors'!$B$12:$B$14,0,0,1)*_xlfn.XLOOKUP($E57,'Emission Factors'!$A$21:$A$23,'Emission Factors'!$B$21:$B$23,0,0,1)/1000000</f>
        <v>27707324.372369822</v>
      </c>
      <c r="M57" s="43">
        <f>M35*_xlfn.XLOOKUP($E57,'Emission Factors'!$A$12:$A$14,'Emission Factors'!$B$12:$B$14,0,0,1)*_xlfn.XLOOKUP($E57,'Emission Factors'!$A$21:$A$23,'Emission Factors'!$B$21:$B$23,0,0,1)/1000000</f>
        <v>28912527.114113398</v>
      </c>
      <c r="N57" s="43">
        <f>N35*_xlfn.XLOOKUP($E57,'Emission Factors'!$A$12:$A$14,'Emission Factors'!$B$12:$B$14,0,0,1)*_xlfn.XLOOKUP($E57,'Emission Factors'!$A$21:$A$23,'Emission Factors'!$B$21:$B$23,0,0,1)/1000000</f>
        <v>23725056.483368918</v>
      </c>
      <c r="O57" s="43">
        <f>O35*_xlfn.XLOOKUP($E57,'Emission Factors'!$A$12:$A$14,'Emission Factors'!$B$12:$B$14,0,0,1)*_xlfn.XLOOKUP($E57,'Emission Factors'!$A$21:$A$23,'Emission Factors'!$B$21:$B$23,0,0,1)/1000000</f>
        <v>27955038.270494878</v>
      </c>
      <c r="P57" s="43">
        <f>P35*_xlfn.XLOOKUP($E57,'Emission Factors'!$A$12:$A$14,'Emission Factors'!$B$12:$B$14,0,0,1)*_xlfn.XLOOKUP($E57,'Emission Factors'!$A$21:$A$23,'Emission Factors'!$B$21:$B$23,0,0,1)/1000000</f>
        <v>24054651.871455636</v>
      </c>
      <c r="Q57" s="43">
        <f>Q35*_xlfn.XLOOKUP($E57,'Emission Factors'!$A$12:$A$14,'Emission Factors'!$B$12:$B$14,0,0,1)*_xlfn.XLOOKUP($E57,'Emission Factors'!$A$21:$A$23,'Emission Factors'!$B$21:$B$23,0,0,1)/1000000</f>
        <v>28107933.04350502</v>
      </c>
      <c r="R57" s="43">
        <f>R35*_xlfn.XLOOKUP($E57,'Emission Factors'!$A$12:$A$14,'Emission Factors'!$B$12:$B$14,0,0,1)*_xlfn.XLOOKUP($E57,'Emission Factors'!$A$21:$A$23,'Emission Factors'!$B$21:$B$23,0,0,1)/1000000</f>
        <v>30184611.699730821</v>
      </c>
      <c r="S57" s="43">
        <f>S35*_xlfn.XLOOKUP($E57,'Emission Factors'!$A$12:$A$14,'Emission Factors'!$B$12:$B$14,0,0,1)*_xlfn.XLOOKUP($E57,'Emission Factors'!$A$21:$A$23,'Emission Factors'!$B$21:$B$23,0,0,1)/1000000</f>
        <v>29014062.609376676</v>
      </c>
      <c r="U57" s="47">
        <f t="shared" si="9"/>
        <v>29102202.450870842</v>
      </c>
      <c r="V57" s="47">
        <f t="shared" si="10"/>
        <v>29014062.609376676</v>
      </c>
    </row>
    <row r="58" spans="1:22" x14ac:dyDescent="0.25">
      <c r="A58" s="39" t="s">
        <v>53</v>
      </c>
      <c r="B58" s="40">
        <v>3690</v>
      </c>
      <c r="C58" s="26">
        <v>32115</v>
      </c>
      <c r="D58" s="27">
        <v>32115</v>
      </c>
      <c r="E58" s="41" t="s">
        <v>67</v>
      </c>
      <c r="F58" s="42" t="s">
        <v>76</v>
      </c>
      <c r="G58" s="43">
        <f>G36*_xlfn.XLOOKUP($E58,'Emission Factors'!$A$12:$A$14,'Emission Factors'!$B$12:$B$14,0,0,1)*_xlfn.XLOOKUP($E58,'Emission Factors'!$A$21:$A$23,'Emission Factors'!$B$21:$B$23,0,0,1)/1000000</f>
        <v>27067309.185291957</v>
      </c>
      <c r="H58" s="43">
        <f>H36*_xlfn.XLOOKUP($E58,'Emission Factors'!$A$12:$A$14,'Emission Factors'!$B$12:$B$14,0,0,1)*_xlfn.XLOOKUP($E58,'Emission Factors'!$A$21:$A$23,'Emission Factors'!$B$21:$B$23,0,0,1)/1000000</f>
        <v>27728478.527712855</v>
      </c>
      <c r="I58" s="43">
        <f>I36*_xlfn.XLOOKUP($E58,'Emission Factors'!$A$12:$A$14,'Emission Factors'!$B$12:$B$14,0,0,1)*_xlfn.XLOOKUP($E58,'Emission Factors'!$A$21:$A$23,'Emission Factors'!$B$21:$B$23,0,0,1)/1000000</f>
        <v>26460584.719714236</v>
      </c>
      <c r="J58" s="43">
        <f>J36*_xlfn.XLOOKUP($E58,'Emission Factors'!$A$12:$A$14,'Emission Factors'!$B$12:$B$14,0,0,1)*_xlfn.XLOOKUP($E58,'Emission Factors'!$A$21:$A$23,'Emission Factors'!$B$21:$B$23,0,0,1)/1000000</f>
        <v>25795626.988499001</v>
      </c>
      <c r="K58" s="43">
        <f>K36*_xlfn.XLOOKUP($E58,'Emission Factors'!$A$12:$A$14,'Emission Factors'!$B$12:$B$14,0,0,1)*_xlfn.XLOOKUP($E58,'Emission Factors'!$A$21:$A$23,'Emission Factors'!$B$21:$B$23,0,0,1)/1000000</f>
        <v>26380895.043533739</v>
      </c>
      <c r="L58" s="43">
        <f>L36*_xlfn.XLOOKUP($E58,'Emission Factors'!$A$12:$A$14,'Emission Factors'!$B$12:$B$14,0,0,1)*_xlfn.XLOOKUP($E58,'Emission Factors'!$A$21:$A$23,'Emission Factors'!$B$21:$B$23,0,0,1)/1000000</f>
        <v>23583493.498866957</v>
      </c>
      <c r="M58" s="43">
        <f>M36*_xlfn.XLOOKUP($E58,'Emission Factors'!$A$12:$A$14,'Emission Factors'!$B$12:$B$14,0,0,1)*_xlfn.XLOOKUP($E58,'Emission Factors'!$A$21:$A$23,'Emission Factors'!$B$21:$B$23,0,0,1)/1000000</f>
        <v>24528265.372171439</v>
      </c>
      <c r="N58" s="43">
        <f>N36*_xlfn.XLOOKUP($E58,'Emission Factors'!$A$12:$A$14,'Emission Factors'!$B$12:$B$14,0,0,1)*_xlfn.XLOOKUP($E58,'Emission Factors'!$A$21:$A$23,'Emission Factors'!$B$21:$B$23,0,0,1)/1000000</f>
        <v>25715160.349565279</v>
      </c>
      <c r="O58" s="43">
        <f>O36*_xlfn.XLOOKUP($E58,'Emission Factors'!$A$12:$A$14,'Emission Factors'!$B$12:$B$14,0,0,1)*_xlfn.XLOOKUP($E58,'Emission Factors'!$A$21:$A$23,'Emission Factors'!$B$21:$B$23,0,0,1)/1000000</f>
        <v>26098887.233336955</v>
      </c>
      <c r="P58" s="43">
        <f>P36*_xlfn.XLOOKUP($E58,'Emission Factors'!$A$12:$A$14,'Emission Factors'!$B$12:$B$14,0,0,1)*_xlfn.XLOOKUP($E58,'Emission Factors'!$A$21:$A$23,'Emission Factors'!$B$21:$B$23,0,0,1)/1000000</f>
        <v>26079552.172172699</v>
      </c>
      <c r="Q58" s="43">
        <f>Q36*_xlfn.XLOOKUP($E58,'Emission Factors'!$A$12:$A$14,'Emission Factors'!$B$12:$B$14,0,0,1)*_xlfn.XLOOKUP($E58,'Emission Factors'!$A$21:$A$23,'Emission Factors'!$B$21:$B$23,0,0,1)/1000000</f>
        <v>23992963.995772175</v>
      </c>
      <c r="R58" s="43">
        <f>R36*_xlfn.XLOOKUP($E58,'Emission Factors'!$A$12:$A$14,'Emission Factors'!$B$12:$B$14,0,0,1)*_xlfn.XLOOKUP($E58,'Emission Factors'!$A$21:$A$23,'Emission Factors'!$B$21:$B$23,0,0,1)/1000000</f>
        <v>24904995.882511377</v>
      </c>
      <c r="S58" s="43">
        <f>S36*_xlfn.XLOOKUP($E58,'Emission Factors'!$A$12:$A$14,'Emission Factors'!$B$12:$B$14,0,0,1)*_xlfn.XLOOKUP($E58,'Emission Factors'!$A$21:$A$23,'Emission Factors'!$B$21:$B$23,0,0,1)/1000000</f>
        <v>24439239.162667636</v>
      </c>
      <c r="U58" s="47">
        <f t="shared" si="9"/>
        <v>24445733.013650399</v>
      </c>
      <c r="V58" s="47">
        <f t="shared" si="10"/>
        <v>24439239.162667636</v>
      </c>
    </row>
    <row r="59" spans="1:22" x14ac:dyDescent="0.25">
      <c r="A59" s="39" t="s">
        <v>54</v>
      </c>
      <c r="B59" s="40">
        <v>3840</v>
      </c>
      <c r="C59" s="26">
        <v>32417</v>
      </c>
      <c r="D59" s="27">
        <v>32417</v>
      </c>
      <c r="E59" s="41" t="s">
        <v>67</v>
      </c>
      <c r="F59" s="42" t="s">
        <v>76</v>
      </c>
      <c r="G59" s="43">
        <f>G37*_xlfn.XLOOKUP($E59,'Emission Factors'!$A$12:$A$14,'Emission Factors'!$B$12:$B$14,0,0,1)*_xlfn.XLOOKUP($E59,'Emission Factors'!$A$21:$A$23,'Emission Factors'!$B$21:$B$23,0,0,1)/1000000</f>
        <v>28138477.507636379</v>
      </c>
      <c r="H59" s="43">
        <f>H37*_xlfn.XLOOKUP($E59,'Emission Factors'!$A$12:$A$14,'Emission Factors'!$B$12:$B$14,0,0,1)*_xlfn.XLOOKUP($E59,'Emission Factors'!$A$21:$A$23,'Emission Factors'!$B$21:$B$23,0,0,1)/1000000</f>
        <v>29555008.555276655</v>
      </c>
      <c r="I59" s="43">
        <f>I37*_xlfn.XLOOKUP($E59,'Emission Factors'!$A$12:$A$14,'Emission Factors'!$B$12:$B$14,0,0,1)*_xlfn.XLOOKUP($E59,'Emission Factors'!$A$21:$A$23,'Emission Factors'!$B$21:$B$23,0,0,1)/1000000</f>
        <v>28530953.103268899</v>
      </c>
      <c r="J59" s="43">
        <f>J37*_xlfn.XLOOKUP($E59,'Emission Factors'!$A$12:$A$14,'Emission Factors'!$B$12:$B$14,0,0,1)*_xlfn.XLOOKUP($E59,'Emission Factors'!$A$21:$A$23,'Emission Factors'!$B$21:$B$23,0,0,1)/1000000</f>
        <v>30021992.839183956</v>
      </c>
      <c r="K59" s="43">
        <f>K37*_xlfn.XLOOKUP($E59,'Emission Factors'!$A$12:$A$14,'Emission Factors'!$B$12:$B$14,0,0,1)*_xlfn.XLOOKUP($E59,'Emission Factors'!$A$21:$A$23,'Emission Factors'!$B$21:$B$23,0,0,1)/1000000</f>
        <v>26013677.2275232</v>
      </c>
      <c r="L59" s="43">
        <f>L37*_xlfn.XLOOKUP($E59,'Emission Factors'!$A$12:$A$14,'Emission Factors'!$B$12:$B$14,0,0,1)*_xlfn.XLOOKUP($E59,'Emission Factors'!$A$21:$A$23,'Emission Factors'!$B$21:$B$23,0,0,1)/1000000</f>
        <v>27468531.638458934</v>
      </c>
      <c r="M59" s="43">
        <f>M37*_xlfn.XLOOKUP($E59,'Emission Factors'!$A$12:$A$14,'Emission Factors'!$B$12:$B$14,0,0,1)*_xlfn.XLOOKUP($E59,'Emission Factors'!$A$21:$A$23,'Emission Factors'!$B$21:$B$23,0,0,1)/1000000</f>
        <v>25231385.140287079</v>
      </c>
      <c r="N59" s="43">
        <f>N37*_xlfn.XLOOKUP($E59,'Emission Factors'!$A$12:$A$14,'Emission Factors'!$B$12:$B$14,0,0,1)*_xlfn.XLOOKUP($E59,'Emission Factors'!$A$21:$A$23,'Emission Factors'!$B$21:$B$23,0,0,1)/1000000</f>
        <v>29689308.143348157</v>
      </c>
      <c r="O59" s="43">
        <f>O37*_xlfn.XLOOKUP($E59,'Emission Factors'!$A$12:$A$14,'Emission Factors'!$B$12:$B$14,0,0,1)*_xlfn.XLOOKUP($E59,'Emission Factors'!$A$21:$A$23,'Emission Factors'!$B$21:$B$23,0,0,1)/1000000</f>
        <v>24763976.215638757</v>
      </c>
      <c r="P59" s="43">
        <f>P37*_xlfn.XLOOKUP($E59,'Emission Factors'!$A$12:$A$14,'Emission Factors'!$B$12:$B$14,0,0,1)*_xlfn.XLOOKUP($E59,'Emission Factors'!$A$21:$A$23,'Emission Factors'!$B$21:$B$23,0,0,1)/1000000</f>
        <v>20936820.873998478</v>
      </c>
      <c r="Q59" s="43">
        <f>Q37*_xlfn.XLOOKUP($E59,'Emission Factors'!$A$12:$A$14,'Emission Factors'!$B$12:$B$14,0,0,1)*_xlfn.XLOOKUP($E59,'Emission Factors'!$A$21:$A$23,'Emission Factors'!$B$21:$B$23,0,0,1)/1000000</f>
        <v>17193900.162496079</v>
      </c>
      <c r="R59" s="43">
        <f>R37*_xlfn.XLOOKUP($E59,'Emission Factors'!$A$12:$A$14,'Emission Factors'!$B$12:$B$14,0,0,1)*_xlfn.XLOOKUP($E59,'Emission Factors'!$A$21:$A$23,'Emission Factors'!$B$21:$B$23,0,0,1)/1000000</f>
        <v>17361084.374590497</v>
      </c>
      <c r="S59" s="43">
        <f>S37*_xlfn.XLOOKUP($E59,'Emission Factors'!$A$12:$A$14,'Emission Factors'!$B$12:$B$14,0,0,1)*_xlfn.XLOOKUP($E59,'Emission Factors'!$A$21:$A$23,'Emission Factors'!$B$21:$B$23,0,0,1)/1000000</f>
        <v>17423246.957827237</v>
      </c>
      <c r="U59" s="47">
        <f t="shared" si="9"/>
        <v>17326077.164971273</v>
      </c>
      <c r="V59" s="47">
        <f t="shared" si="10"/>
        <v>17423246.957827237</v>
      </c>
    </row>
    <row r="60" spans="1:22" x14ac:dyDescent="0.25">
      <c r="A60" s="39" t="s">
        <v>55</v>
      </c>
      <c r="B60" s="40">
        <v>3807</v>
      </c>
      <c r="C60" s="26">
        <v>35156</v>
      </c>
      <c r="D60" s="27">
        <v>35156</v>
      </c>
      <c r="E60" s="41" t="s">
        <v>67</v>
      </c>
      <c r="F60" s="42" t="s">
        <v>76</v>
      </c>
      <c r="G60" s="43">
        <f>G38*_xlfn.XLOOKUP($E60,'Emission Factors'!$A$12:$A$14,'Emission Factors'!$B$12:$B$14,0,0,1)*_xlfn.XLOOKUP($E60,'Emission Factors'!$A$21:$A$23,'Emission Factors'!$B$21:$B$23,0,0,1)/1000000</f>
        <v>24144278.882706556</v>
      </c>
      <c r="H60" s="43">
        <f>H38*_xlfn.XLOOKUP($E60,'Emission Factors'!$A$12:$A$14,'Emission Factors'!$B$12:$B$14,0,0,1)*_xlfn.XLOOKUP($E60,'Emission Factors'!$A$21:$A$23,'Emission Factors'!$B$21:$B$23,0,0,1)/1000000</f>
        <v>25087648.885267757</v>
      </c>
      <c r="I60" s="43">
        <f>I38*_xlfn.XLOOKUP($E60,'Emission Factors'!$A$12:$A$14,'Emission Factors'!$B$12:$B$14,0,0,1)*_xlfn.XLOOKUP($E60,'Emission Factors'!$A$21:$A$23,'Emission Factors'!$B$21:$B$23,0,0,1)/1000000</f>
        <v>24606313.969505638</v>
      </c>
      <c r="J60" s="43">
        <f>J38*_xlfn.XLOOKUP($E60,'Emission Factors'!$A$12:$A$14,'Emission Factors'!$B$12:$B$14,0,0,1)*_xlfn.XLOOKUP($E60,'Emission Factors'!$A$21:$A$23,'Emission Factors'!$B$21:$B$23,0,0,1)/1000000</f>
        <v>24269062.067795899</v>
      </c>
      <c r="K60" s="43">
        <f>K38*_xlfn.XLOOKUP($E60,'Emission Factors'!$A$12:$A$14,'Emission Factors'!$B$12:$B$14,0,0,1)*_xlfn.XLOOKUP($E60,'Emission Factors'!$A$21:$A$23,'Emission Factors'!$B$21:$B$23,0,0,1)/1000000</f>
        <v>23991996.037401818</v>
      </c>
      <c r="L60" s="43">
        <f>L38*_xlfn.XLOOKUP($E60,'Emission Factors'!$A$12:$A$14,'Emission Factors'!$B$12:$B$14,0,0,1)*_xlfn.XLOOKUP($E60,'Emission Factors'!$A$21:$A$23,'Emission Factors'!$B$21:$B$23,0,0,1)/1000000</f>
        <v>21245017.335659999</v>
      </c>
      <c r="M60" s="43">
        <f>M38*_xlfn.XLOOKUP($E60,'Emission Factors'!$A$12:$A$14,'Emission Factors'!$B$12:$B$14,0,0,1)*_xlfn.XLOOKUP($E60,'Emission Factors'!$A$21:$A$23,'Emission Factors'!$B$21:$B$23,0,0,1)/1000000</f>
        <v>21652030.850111719</v>
      </c>
      <c r="N60" s="43">
        <f>N38*_xlfn.XLOOKUP($E60,'Emission Factors'!$A$12:$A$14,'Emission Factors'!$B$12:$B$14,0,0,1)*_xlfn.XLOOKUP($E60,'Emission Factors'!$A$21:$A$23,'Emission Factors'!$B$21:$B$23,0,0,1)/1000000</f>
        <v>25241949.237673938</v>
      </c>
      <c r="O60" s="43">
        <f>O38*_xlfn.XLOOKUP($E60,'Emission Factors'!$A$12:$A$14,'Emission Factors'!$B$12:$B$14,0,0,1)*_xlfn.XLOOKUP($E60,'Emission Factors'!$A$21:$A$23,'Emission Factors'!$B$21:$B$23,0,0,1)/1000000</f>
        <v>25398102.062133737</v>
      </c>
      <c r="P60" s="43">
        <f>P38*_xlfn.XLOOKUP($E60,'Emission Factors'!$A$12:$A$14,'Emission Factors'!$B$12:$B$14,0,0,1)*_xlfn.XLOOKUP($E60,'Emission Factors'!$A$21:$A$23,'Emission Factors'!$B$21:$B$23,0,0,1)/1000000</f>
        <v>22775526.408573359</v>
      </c>
      <c r="Q60" s="43">
        <f>Q38*_xlfn.XLOOKUP($E60,'Emission Factors'!$A$12:$A$14,'Emission Factors'!$B$12:$B$14,0,0,1)*_xlfn.XLOOKUP($E60,'Emission Factors'!$A$21:$A$23,'Emission Factors'!$B$21:$B$23,0,0,1)/1000000</f>
        <v>23685481.449766956</v>
      </c>
      <c r="R60" s="43">
        <f>R38*_xlfn.XLOOKUP($E60,'Emission Factors'!$A$12:$A$14,'Emission Factors'!$B$12:$B$14,0,0,1)*_xlfn.XLOOKUP($E60,'Emission Factors'!$A$21:$A$23,'Emission Factors'!$B$21:$B$23,0,0,1)/1000000</f>
        <v>22112272.803301338</v>
      </c>
      <c r="S60" s="43">
        <f>S38*_xlfn.XLOOKUP($E60,'Emission Factors'!$A$12:$A$14,'Emission Factors'!$B$12:$B$14,0,0,1)*_xlfn.XLOOKUP($E60,'Emission Factors'!$A$21:$A$23,'Emission Factors'!$B$21:$B$23,0,0,1)/1000000</f>
        <v>18230162.645063378</v>
      </c>
      <c r="U60" s="47">
        <f t="shared" si="9"/>
        <v>21342638.966043893</v>
      </c>
      <c r="V60" s="47">
        <f t="shared" si="10"/>
        <v>18230162.645063378</v>
      </c>
    </row>
    <row r="61" spans="1:22" x14ac:dyDescent="0.25">
      <c r="A61" s="39" t="s">
        <v>56</v>
      </c>
      <c r="B61" s="40">
        <v>1481</v>
      </c>
      <c r="C61" s="26">
        <v>24685</v>
      </c>
      <c r="D61" s="27">
        <v>38412</v>
      </c>
      <c r="E61" s="41" t="s">
        <v>67</v>
      </c>
      <c r="F61" s="42" t="s">
        <v>76</v>
      </c>
      <c r="G61" s="43">
        <f>G39*_xlfn.XLOOKUP($E61,'Emission Factors'!$A$12:$A$14,'Emission Factors'!$B$12:$B$14,0,0,1)*_xlfn.XLOOKUP($E61,'Emission Factors'!$A$21:$A$23,'Emission Factors'!$B$21:$B$23,0,0,1)/1000000</f>
        <v>8585091.6640479378</v>
      </c>
      <c r="H61" s="43">
        <f>H39*_xlfn.XLOOKUP($E61,'Emission Factors'!$A$12:$A$14,'Emission Factors'!$B$12:$B$14,0,0,1)*_xlfn.XLOOKUP($E61,'Emission Factors'!$A$21:$A$23,'Emission Factors'!$B$21:$B$23,0,0,1)/1000000</f>
        <v>8028235.5978075583</v>
      </c>
      <c r="I61" s="43">
        <f>I39*_xlfn.XLOOKUP($E61,'Emission Factors'!$A$12:$A$14,'Emission Factors'!$B$12:$B$14,0,0,1)*_xlfn.XLOOKUP($E61,'Emission Factors'!$A$21:$A$23,'Emission Factors'!$B$21:$B$23,0,0,1)/1000000</f>
        <v>15538863.801533816</v>
      </c>
      <c r="J61" s="43">
        <f>J39*_xlfn.XLOOKUP($E61,'Emission Factors'!$A$12:$A$14,'Emission Factors'!$B$12:$B$14,0,0,1)*_xlfn.XLOOKUP($E61,'Emission Factors'!$A$21:$A$23,'Emission Factors'!$B$21:$B$23,0,0,1)/1000000</f>
        <v>9824059.8348449394</v>
      </c>
      <c r="K61" s="43">
        <f>K39*_xlfn.XLOOKUP($E61,'Emission Factors'!$A$12:$A$14,'Emission Factors'!$B$12:$B$14,0,0,1)*_xlfn.XLOOKUP($E61,'Emission Factors'!$A$21:$A$23,'Emission Factors'!$B$21:$B$23,0,0,1)/1000000</f>
        <v>9409341.5942843184</v>
      </c>
      <c r="L61" s="43">
        <f>L39*_xlfn.XLOOKUP($E61,'Emission Factors'!$A$12:$A$14,'Emission Factors'!$B$12:$B$14,0,0,1)*_xlfn.XLOOKUP($E61,'Emission Factors'!$A$21:$A$23,'Emission Factors'!$B$21:$B$23,0,0,1)/1000000</f>
        <v>8456970.6914745998</v>
      </c>
      <c r="M61" s="43">
        <f>M39*_xlfn.XLOOKUP($E61,'Emission Factors'!$A$12:$A$14,'Emission Factors'!$B$12:$B$14,0,0,1)*_xlfn.XLOOKUP($E61,'Emission Factors'!$A$21:$A$23,'Emission Factors'!$B$21:$B$23,0,0,1)/1000000</f>
        <v>8331022.9894186193</v>
      </c>
      <c r="N61" s="43">
        <f>N39*_xlfn.XLOOKUP($E61,'Emission Factors'!$A$12:$A$14,'Emission Factors'!$B$12:$B$14,0,0,1)*_xlfn.XLOOKUP($E61,'Emission Factors'!$A$21:$A$23,'Emission Factors'!$B$21:$B$23,0,0,1)/1000000</f>
        <v>7292846.8420271585</v>
      </c>
      <c r="O61" s="43">
        <f>O39*_xlfn.XLOOKUP($E61,'Emission Factors'!$A$12:$A$14,'Emission Factors'!$B$12:$B$14,0,0,1)*_xlfn.XLOOKUP($E61,'Emission Factors'!$A$21:$A$23,'Emission Factors'!$B$21:$B$23,0,0,1)/1000000</f>
        <v>8240672.7908795001</v>
      </c>
      <c r="P61" s="43">
        <f>P39*_xlfn.XLOOKUP($E61,'Emission Factors'!$A$12:$A$14,'Emission Factors'!$B$12:$B$14,0,0,1)*_xlfn.XLOOKUP($E61,'Emission Factors'!$A$21:$A$23,'Emission Factors'!$B$21:$B$23,0,0,1)/1000000</f>
        <v>6077178.2821948593</v>
      </c>
      <c r="Q61" s="43">
        <f>Q39*_xlfn.XLOOKUP($E61,'Emission Factors'!$A$12:$A$14,'Emission Factors'!$B$12:$B$14,0,0,1)*_xlfn.XLOOKUP($E61,'Emission Factors'!$A$21:$A$23,'Emission Factors'!$B$21:$B$23,0,0,1)/1000000</f>
        <v>2910587.7725755996</v>
      </c>
      <c r="R61" s="43">
        <f>R39*_xlfn.XLOOKUP($E61,'Emission Factors'!$A$12:$A$14,'Emission Factors'!$B$12:$B$14,0,0,1)*_xlfn.XLOOKUP($E61,'Emission Factors'!$A$21:$A$23,'Emission Factors'!$B$21:$B$23,0,0,1)/1000000</f>
        <v>7291626.695269119</v>
      </c>
      <c r="S61" s="43">
        <f>S39*_xlfn.XLOOKUP($E61,'Emission Factors'!$A$12:$A$14,'Emission Factors'!$B$12:$B$14,0,0,1)*_xlfn.XLOOKUP($E61,'Emission Factors'!$A$21:$A$23,'Emission Factors'!$B$21:$B$23,0,0,1)/1000000</f>
        <v>7657151.5112947198</v>
      </c>
      <c r="U61" s="47">
        <f t="shared" si="9"/>
        <v>5953121.9930464802</v>
      </c>
      <c r="V61" s="47">
        <f t="shared" si="10"/>
        <v>7657151.5112947198</v>
      </c>
    </row>
    <row r="62" spans="1:22" x14ac:dyDescent="0.25">
      <c r="A62" s="39" t="s">
        <v>57</v>
      </c>
      <c r="B62" s="40">
        <v>1327</v>
      </c>
      <c r="C62" s="26">
        <v>39142</v>
      </c>
      <c r="D62" s="27">
        <v>39142</v>
      </c>
      <c r="E62" s="41" t="s">
        <v>78</v>
      </c>
      <c r="F62" s="42" t="s">
        <v>76</v>
      </c>
      <c r="G62" s="43">
        <f>G40*_xlfn.XLOOKUP($E62,'Emission Factors'!$A$12:$A$14,'Emission Factors'!$B$12:$B$14,0,0,1)*_xlfn.XLOOKUP($E62,'Emission Factors'!$A$21:$A$23,'Emission Factors'!$B$21:$B$23,0,0,1)/1000000</f>
        <v>108656.39346899999</v>
      </c>
      <c r="H62" s="43">
        <f>H40*_xlfn.XLOOKUP($E62,'Emission Factors'!$A$12:$A$14,'Emission Factors'!$B$12:$B$14,0,0,1)*_xlfn.XLOOKUP($E62,'Emission Factors'!$A$21:$A$23,'Emission Factors'!$B$21:$B$23,0,0,1)/1000000</f>
        <v>320542.13479079999</v>
      </c>
      <c r="I62" s="43">
        <f>I40*_xlfn.XLOOKUP($E62,'Emission Factors'!$A$12:$A$14,'Emission Factors'!$B$12:$B$14,0,0,1)*_xlfn.XLOOKUP($E62,'Emission Factors'!$A$21:$A$23,'Emission Factors'!$B$21:$B$23,0,0,1)/1000000</f>
        <v>1031702.4018346498</v>
      </c>
      <c r="J62" s="43">
        <f>J40*_xlfn.XLOOKUP($E62,'Emission Factors'!$A$12:$A$14,'Emission Factors'!$B$12:$B$14,0,0,1)*_xlfn.XLOOKUP($E62,'Emission Factors'!$A$21:$A$23,'Emission Factors'!$B$21:$B$23,0,0,1)/1000000</f>
        <v>1953331.9063752</v>
      </c>
      <c r="K62" s="43">
        <f>K40*_xlfn.XLOOKUP($E62,'Emission Factors'!$A$12:$A$14,'Emission Factors'!$B$12:$B$14,0,0,1)*_xlfn.XLOOKUP($E62,'Emission Factors'!$A$21:$A$23,'Emission Factors'!$B$21:$B$23,0,0,1)/1000000</f>
        <v>1987215.8709838497</v>
      </c>
      <c r="L62" s="43">
        <f>L40*_xlfn.XLOOKUP($E62,'Emission Factors'!$A$12:$A$14,'Emission Factors'!$B$12:$B$14,0,0,1)*_xlfn.XLOOKUP($E62,'Emission Factors'!$A$21:$A$23,'Emission Factors'!$B$21:$B$23,0,0,1)/1000000</f>
        <v>2084897.79925245</v>
      </c>
      <c r="M62" s="43">
        <f>M40*_xlfn.XLOOKUP($E62,'Emission Factors'!$A$12:$A$14,'Emission Factors'!$B$12:$B$14,0,0,1)*_xlfn.XLOOKUP($E62,'Emission Factors'!$A$21:$A$23,'Emission Factors'!$B$21:$B$23,0,0,1)/1000000</f>
        <v>16898.469061499996</v>
      </c>
      <c r="N62" s="43">
        <f>N40*_xlfn.XLOOKUP($E62,'Emission Factors'!$A$12:$A$14,'Emission Factors'!$B$12:$B$14,0,0,1)*_xlfn.XLOOKUP($E62,'Emission Factors'!$A$21:$A$23,'Emission Factors'!$B$21:$B$23,0,0,1)/1000000</f>
        <v>50768.728504649996</v>
      </c>
      <c r="O62" s="43">
        <f>O40*_xlfn.XLOOKUP($E62,'Emission Factors'!$A$12:$A$14,'Emission Factors'!$B$12:$B$14,0,0,1)*_xlfn.XLOOKUP($E62,'Emission Factors'!$A$21:$A$23,'Emission Factors'!$B$21:$B$23,0,0,1)/1000000</f>
        <v>596551.45188209997</v>
      </c>
      <c r="P62" s="43">
        <f>P40*_xlfn.XLOOKUP($E62,'Emission Factors'!$A$12:$A$14,'Emission Factors'!$B$12:$B$14,0,0,1)*_xlfn.XLOOKUP($E62,'Emission Factors'!$A$21:$A$23,'Emission Factors'!$B$21:$B$23,0,0,1)/1000000</f>
        <v>678923.15037104988</v>
      </c>
      <c r="Q62" s="43">
        <f>Q40*_xlfn.XLOOKUP($E62,'Emission Factors'!$A$12:$A$14,'Emission Factors'!$B$12:$B$14,0,0,1)*_xlfn.XLOOKUP($E62,'Emission Factors'!$A$21:$A$23,'Emission Factors'!$B$21:$B$23,0,0,1)/1000000</f>
        <v>585077.51100045</v>
      </c>
      <c r="R62" s="43">
        <f>R40*_xlfn.XLOOKUP($E62,'Emission Factors'!$A$12:$A$14,'Emission Factors'!$B$12:$B$14,0,0,1)*_xlfn.XLOOKUP($E62,'Emission Factors'!$A$21:$A$23,'Emission Factors'!$B$21:$B$23,0,0,1)/1000000</f>
        <v>790970.82522509992</v>
      </c>
      <c r="S62" s="43">
        <f>S40*_xlfn.XLOOKUP($E62,'Emission Factors'!$A$12:$A$14,'Emission Factors'!$B$12:$B$14,0,0,1)*_xlfn.XLOOKUP($E62,'Emission Factors'!$A$21:$A$23,'Emission Factors'!$B$21:$B$23,0,0,1)/1000000</f>
        <v>1101175.1326348498</v>
      </c>
      <c r="U62" s="47">
        <f t="shared" si="9"/>
        <v>825741.15628679993</v>
      </c>
      <c r="V62" s="47">
        <f t="shared" si="10"/>
        <v>1101175.1326348498</v>
      </c>
    </row>
    <row r="63" spans="1:22" x14ac:dyDescent="0.25">
      <c r="A63" s="39" t="s">
        <v>58</v>
      </c>
      <c r="B63" s="40">
        <v>740</v>
      </c>
      <c r="C63" s="26">
        <v>39264</v>
      </c>
      <c r="D63" s="27">
        <v>39264</v>
      </c>
      <c r="E63" s="41" t="s">
        <v>78</v>
      </c>
      <c r="F63" s="42" t="s">
        <v>76</v>
      </c>
      <c r="G63" s="43">
        <f>G41*_xlfn.XLOOKUP($E63,'Emission Factors'!$A$12:$A$14,'Emission Factors'!$B$12:$B$14,0,0,1)*_xlfn.XLOOKUP($E63,'Emission Factors'!$A$21:$A$23,'Emission Factors'!$B$21:$B$23,0,0,1)/1000000</f>
        <v>50359.483318949999</v>
      </c>
      <c r="H63" s="43">
        <f>H41*_xlfn.XLOOKUP($E63,'Emission Factors'!$A$12:$A$14,'Emission Factors'!$B$12:$B$14,0,0,1)*_xlfn.XLOOKUP($E63,'Emission Factors'!$A$21:$A$23,'Emission Factors'!$B$21:$B$23,0,0,1)/1000000</f>
        <v>252969.45025559998</v>
      </c>
      <c r="I63" s="43">
        <f>I41*_xlfn.XLOOKUP($E63,'Emission Factors'!$A$12:$A$14,'Emission Factors'!$B$12:$B$14,0,0,1)*_xlfn.XLOOKUP($E63,'Emission Factors'!$A$21:$A$23,'Emission Factors'!$B$21:$B$23,0,0,1)/1000000</f>
        <v>531987.86401409993</v>
      </c>
      <c r="J63" s="43">
        <f>J41*_xlfn.XLOOKUP($E63,'Emission Factors'!$A$12:$A$14,'Emission Factors'!$B$12:$B$14,0,0,1)*_xlfn.XLOOKUP($E63,'Emission Factors'!$A$21:$A$23,'Emission Factors'!$B$21:$B$23,0,0,1)/1000000</f>
        <v>899766.55103594996</v>
      </c>
      <c r="K63" s="43">
        <f>K41*_xlfn.XLOOKUP($E63,'Emission Factors'!$A$12:$A$14,'Emission Factors'!$B$12:$B$14,0,0,1)*_xlfn.XLOOKUP($E63,'Emission Factors'!$A$21:$A$23,'Emission Factors'!$B$21:$B$23,0,0,1)/1000000</f>
        <v>976060.44266639987</v>
      </c>
      <c r="L63" s="43">
        <f>L41*_xlfn.XLOOKUP($E63,'Emission Factors'!$A$12:$A$14,'Emission Factors'!$B$12:$B$14,0,0,1)*_xlfn.XLOOKUP($E63,'Emission Factors'!$A$21:$A$23,'Emission Factors'!$B$21:$B$23,0,0,1)/1000000</f>
        <v>1073818.7147571</v>
      </c>
      <c r="M63" s="43">
        <f>M41*_xlfn.XLOOKUP($E63,'Emission Factors'!$A$12:$A$14,'Emission Factors'!$B$12:$B$14,0,0,1)*_xlfn.XLOOKUP($E63,'Emission Factors'!$A$21:$A$23,'Emission Factors'!$B$21:$B$23,0,0,1)/1000000</f>
        <v>9556.0910542500005</v>
      </c>
      <c r="N63" s="43">
        <f>N41*_xlfn.XLOOKUP($E63,'Emission Factors'!$A$12:$A$14,'Emission Factors'!$B$12:$B$14,0,0,1)*_xlfn.XLOOKUP($E63,'Emission Factors'!$A$21:$A$23,'Emission Factors'!$B$21:$B$23,0,0,1)/1000000</f>
        <v>44666.838960899993</v>
      </c>
      <c r="O63" s="43">
        <f>O41*_xlfn.XLOOKUP($E63,'Emission Factors'!$A$12:$A$14,'Emission Factors'!$B$12:$B$14,0,0,1)*_xlfn.XLOOKUP($E63,'Emission Factors'!$A$21:$A$23,'Emission Factors'!$B$21:$B$23,0,0,1)/1000000</f>
        <v>331545.75437684997</v>
      </c>
      <c r="P63" s="43">
        <f>P41*_xlfn.XLOOKUP($E63,'Emission Factors'!$A$12:$A$14,'Emission Factors'!$B$12:$B$14,0,0,1)*_xlfn.XLOOKUP($E63,'Emission Factors'!$A$21:$A$23,'Emission Factors'!$B$21:$B$23,0,0,1)/1000000</f>
        <v>417230.33333864994</v>
      </c>
      <c r="Q63" s="43">
        <f>Q41*_xlfn.XLOOKUP($E63,'Emission Factors'!$A$12:$A$14,'Emission Factors'!$B$12:$B$14,0,0,1)*_xlfn.XLOOKUP($E63,'Emission Factors'!$A$21:$A$23,'Emission Factors'!$B$21:$B$23,0,0,1)/1000000</f>
        <v>618196.52482185001</v>
      </c>
      <c r="R63" s="43">
        <f>R41*_xlfn.XLOOKUP($E63,'Emission Factors'!$A$12:$A$14,'Emission Factors'!$B$12:$B$14,0,0,1)*_xlfn.XLOOKUP($E63,'Emission Factors'!$A$21:$A$23,'Emission Factors'!$B$21:$B$23,0,0,1)/1000000</f>
        <v>709079.38888019999</v>
      </c>
      <c r="S63" s="43">
        <f>S41*_xlfn.XLOOKUP($E63,'Emission Factors'!$A$12:$A$14,'Emission Factors'!$B$12:$B$14,0,0,1)*_xlfn.XLOOKUP($E63,'Emission Factors'!$A$21:$A$23,'Emission Factors'!$B$21:$B$23,0,0,1)/1000000</f>
        <v>1356118.5528715497</v>
      </c>
      <c r="U63" s="47">
        <f t="shared" si="9"/>
        <v>894464.82219119987</v>
      </c>
      <c r="V63" s="47">
        <f t="shared" si="10"/>
        <v>1356118.5528715497</v>
      </c>
    </row>
    <row r="64" spans="1:22" x14ac:dyDescent="0.25">
      <c r="A64" s="39" t="s">
        <v>59</v>
      </c>
      <c r="B64" s="40">
        <v>570</v>
      </c>
      <c r="C64" s="26">
        <v>25355</v>
      </c>
      <c r="D64" s="27">
        <v>39568</v>
      </c>
      <c r="E64" s="41" t="s">
        <v>67</v>
      </c>
      <c r="F64" s="42" t="s">
        <v>76</v>
      </c>
      <c r="G64" s="43">
        <f>G42*_xlfn.XLOOKUP($E64,'Emission Factors'!$A$12:$A$14,'Emission Factors'!$B$12:$B$14,0,0,1)*_xlfn.XLOOKUP($E64,'Emission Factors'!$A$21:$A$23,'Emission Factors'!$B$21:$B$23,0,0,1)/1000000</f>
        <v>3955239.2276860196</v>
      </c>
      <c r="H64" s="43">
        <f>H42*_xlfn.XLOOKUP($E64,'Emission Factors'!$A$12:$A$14,'Emission Factors'!$B$12:$B$14,0,0,1)*_xlfn.XLOOKUP($E64,'Emission Factors'!$A$21:$A$23,'Emission Factors'!$B$21:$B$23,0,0,1)/1000000</f>
        <v>7087166.8142839391</v>
      </c>
      <c r="I64" s="43">
        <f>I42*_xlfn.XLOOKUP($E64,'Emission Factors'!$A$12:$A$14,'Emission Factors'!$B$12:$B$14,0,0,1)*_xlfn.XLOOKUP($E64,'Emission Factors'!$A$21:$A$23,'Emission Factors'!$B$21:$B$23,0,0,1)/1000000</f>
        <v>10182439.931328399</v>
      </c>
      <c r="J64" s="43">
        <f>J42*_xlfn.XLOOKUP($E64,'Emission Factors'!$A$12:$A$14,'Emission Factors'!$B$12:$B$14,0,0,1)*_xlfn.XLOOKUP($E64,'Emission Factors'!$A$21:$A$23,'Emission Factors'!$B$21:$B$23,0,0,1)/1000000</f>
        <v>8554665.8768048994</v>
      </c>
      <c r="K64" s="43">
        <f>K42*_xlfn.XLOOKUP($E64,'Emission Factors'!$A$12:$A$14,'Emission Factors'!$B$12:$B$14,0,0,1)*_xlfn.XLOOKUP($E64,'Emission Factors'!$A$21:$A$23,'Emission Factors'!$B$21:$B$23,0,0,1)/1000000</f>
        <v>7352079.5895835003</v>
      </c>
      <c r="L64" s="43">
        <f>L42*_xlfn.XLOOKUP($E64,'Emission Factors'!$A$12:$A$14,'Emission Factors'!$B$12:$B$14,0,0,1)*_xlfn.XLOOKUP($E64,'Emission Factors'!$A$21:$A$23,'Emission Factors'!$B$21:$B$23,0,0,1)/1000000</f>
        <v>6107342.6094183195</v>
      </c>
      <c r="M64" s="43">
        <f>M42*_xlfn.XLOOKUP($E64,'Emission Factors'!$A$12:$A$14,'Emission Factors'!$B$12:$B$14,0,0,1)*_xlfn.XLOOKUP($E64,'Emission Factors'!$A$21:$A$23,'Emission Factors'!$B$21:$B$23,0,0,1)/1000000</f>
        <v>5231627.7048314186</v>
      </c>
      <c r="N64" s="43">
        <f>N42*_xlfn.XLOOKUP($E64,'Emission Factors'!$A$12:$A$14,'Emission Factors'!$B$12:$B$14,0,0,1)*_xlfn.XLOOKUP($E64,'Emission Factors'!$A$21:$A$23,'Emission Factors'!$B$21:$B$23,0,0,1)/1000000</f>
        <v>3857920.4706108598</v>
      </c>
      <c r="O64" s="43">
        <f>O42*_xlfn.XLOOKUP($E64,'Emission Factors'!$A$12:$A$14,'Emission Factors'!$B$12:$B$14,0,0,1)*_xlfn.XLOOKUP($E64,'Emission Factors'!$A$21:$A$23,'Emission Factors'!$B$21:$B$23,0,0,1)/1000000</f>
        <v>3032665.4954765197</v>
      </c>
      <c r="P64" s="43">
        <f>P42*_xlfn.XLOOKUP($E64,'Emission Factors'!$A$12:$A$14,'Emission Factors'!$B$12:$B$14,0,0,1)*_xlfn.XLOOKUP($E64,'Emission Factors'!$A$21:$A$23,'Emission Factors'!$B$21:$B$23,0,0,1)/1000000</f>
        <v>3104010.7029470196</v>
      </c>
      <c r="Q64" s="43">
        <f>Q42*_xlfn.XLOOKUP($E64,'Emission Factors'!$A$12:$A$14,'Emission Factors'!$B$12:$B$14,0,0,1)*_xlfn.XLOOKUP($E64,'Emission Factors'!$A$21:$A$23,'Emission Factors'!$B$21:$B$23,0,0,1)/1000000</f>
        <v>3595410.9022997795</v>
      </c>
      <c r="R64" s="43">
        <f>R42*_xlfn.XLOOKUP($E64,'Emission Factors'!$A$12:$A$14,'Emission Factors'!$B$12:$B$14,0,0,1)*_xlfn.XLOOKUP($E64,'Emission Factors'!$A$21:$A$23,'Emission Factors'!$B$21:$B$23,0,0,1)/1000000</f>
        <v>2863578.7445162199</v>
      </c>
      <c r="S64" s="43">
        <f>S42*_xlfn.XLOOKUP($E64,'Emission Factors'!$A$12:$A$14,'Emission Factors'!$B$12:$B$14,0,0,1)*_xlfn.XLOOKUP($E64,'Emission Factors'!$A$21:$A$23,'Emission Factors'!$B$21:$B$23,0,0,1)/1000000</f>
        <v>2815983.7493207599</v>
      </c>
      <c r="U64" s="47">
        <f t="shared" si="9"/>
        <v>3091657.7987122531</v>
      </c>
      <c r="V64" s="47">
        <f t="shared" si="10"/>
        <v>2815983.7493207599</v>
      </c>
    </row>
    <row r="65" spans="1:22" x14ac:dyDescent="0.25">
      <c r="A65" s="39" t="s">
        <v>60</v>
      </c>
      <c r="B65" s="40">
        <v>990</v>
      </c>
      <c r="C65" s="26">
        <v>22591</v>
      </c>
      <c r="D65" s="27">
        <v>39903</v>
      </c>
      <c r="E65" s="41" t="s">
        <v>67</v>
      </c>
      <c r="F65" s="42" t="s">
        <v>76</v>
      </c>
      <c r="G65" s="43">
        <f>G43*_xlfn.XLOOKUP($E65,'Emission Factors'!$A$12:$A$14,'Emission Factors'!$B$12:$B$14,0,0,1)*_xlfn.XLOOKUP($E65,'Emission Factors'!$A$21:$A$23,'Emission Factors'!$B$21:$B$23,0,0,1)/1000000</f>
        <v>2356867.3722437997</v>
      </c>
      <c r="H65" s="43">
        <f>H43*_xlfn.XLOOKUP($E65,'Emission Factors'!$A$12:$A$14,'Emission Factors'!$B$12:$B$14,0,0,1)*_xlfn.XLOOKUP($E65,'Emission Factors'!$A$21:$A$23,'Emission Factors'!$B$21:$B$23,0,0,1)/1000000</f>
        <v>2577858.5729066795</v>
      </c>
      <c r="I65" s="43">
        <f>I43*_xlfn.XLOOKUP($E65,'Emission Factors'!$A$12:$A$14,'Emission Factors'!$B$12:$B$14,0,0,1)*_xlfn.XLOOKUP($E65,'Emission Factors'!$A$21:$A$23,'Emission Factors'!$B$21:$B$23,0,0,1)/1000000</f>
        <v>7610350.1677898997</v>
      </c>
      <c r="J65" s="43">
        <f>J43*_xlfn.XLOOKUP($E65,'Emission Factors'!$A$12:$A$14,'Emission Factors'!$B$12:$B$14,0,0,1)*_xlfn.XLOOKUP($E65,'Emission Factors'!$A$21:$A$23,'Emission Factors'!$B$21:$B$23,0,0,1)/1000000</f>
        <v>5525050.7482234798</v>
      </c>
      <c r="K65" s="43">
        <f>K43*_xlfn.XLOOKUP($E65,'Emission Factors'!$A$12:$A$14,'Emission Factors'!$B$12:$B$14,0,0,1)*_xlfn.XLOOKUP($E65,'Emission Factors'!$A$21:$A$23,'Emission Factors'!$B$21:$B$23,0,0,1)/1000000</f>
        <v>4603157.5537954392</v>
      </c>
      <c r="L65" s="43">
        <f>L43*_xlfn.XLOOKUP($E65,'Emission Factors'!$A$12:$A$14,'Emission Factors'!$B$12:$B$14,0,0,1)*_xlfn.XLOOKUP($E65,'Emission Factors'!$A$21:$A$23,'Emission Factors'!$B$21:$B$23,0,0,1)/1000000</f>
        <v>4626277.2951012794</v>
      </c>
      <c r="M65" s="43">
        <f>M43*_xlfn.XLOOKUP($E65,'Emission Factors'!$A$12:$A$14,'Emission Factors'!$B$12:$B$14,0,0,1)*_xlfn.XLOOKUP($E65,'Emission Factors'!$A$21:$A$23,'Emission Factors'!$B$21:$B$23,0,0,1)/1000000</f>
        <v>4635393.1635853592</v>
      </c>
      <c r="N65" s="43">
        <f>N43*_xlfn.XLOOKUP($E65,'Emission Factors'!$A$12:$A$14,'Emission Factors'!$B$12:$B$14,0,0,1)*_xlfn.XLOOKUP($E65,'Emission Factors'!$A$21:$A$23,'Emission Factors'!$B$21:$B$23,0,0,1)/1000000</f>
        <v>2654384.7682829001</v>
      </c>
      <c r="O65" s="43">
        <f>O43*_xlfn.XLOOKUP($E65,'Emission Factors'!$A$12:$A$14,'Emission Factors'!$B$12:$B$14,0,0,1)*_xlfn.XLOOKUP($E65,'Emission Factors'!$A$21:$A$23,'Emission Factors'!$B$21:$B$23,0,0,1)/1000000</f>
        <v>2249600.1541399392</v>
      </c>
      <c r="P65" s="43">
        <f>P43*_xlfn.XLOOKUP($E65,'Emission Factors'!$A$12:$A$14,'Emission Factors'!$B$12:$B$14,0,0,1)*_xlfn.XLOOKUP($E65,'Emission Factors'!$A$21:$A$23,'Emission Factors'!$B$21:$B$23,0,0,1)/1000000</f>
        <v>1661724.9162149199</v>
      </c>
      <c r="Q65" s="43">
        <f>Q43*_xlfn.XLOOKUP($E65,'Emission Factors'!$A$12:$A$14,'Emission Factors'!$B$12:$B$14,0,0,1)*_xlfn.XLOOKUP($E65,'Emission Factors'!$A$21:$A$23,'Emission Factors'!$B$21:$B$23,0,0,1)/1000000</f>
        <v>745975.10508381994</v>
      </c>
      <c r="R65" s="43">
        <f>R43*_xlfn.XLOOKUP($E65,'Emission Factors'!$A$12:$A$14,'Emission Factors'!$B$12:$B$14,0,0,1)*_xlfn.XLOOKUP($E65,'Emission Factors'!$A$21:$A$23,'Emission Factors'!$B$21:$B$23,0,0,1)/1000000</f>
        <v>622743.9911745399</v>
      </c>
      <c r="S65" s="43">
        <f>S43*_xlfn.XLOOKUP($E65,'Emission Factors'!$A$12:$A$14,'Emission Factors'!$B$12:$B$14,0,0,1)*_xlfn.XLOOKUP($E65,'Emission Factors'!$A$21:$A$23,'Emission Factors'!$B$21:$B$23,0,0,1)/1000000</f>
        <v>367071.32422651997</v>
      </c>
      <c r="U65" s="47">
        <f t="shared" si="9"/>
        <v>578596.80682829337</v>
      </c>
      <c r="V65" s="47">
        <f t="shared" si="10"/>
        <v>367071.32422651997</v>
      </c>
    </row>
    <row r="66" spans="1:22" x14ac:dyDescent="0.25">
      <c r="A66" s="39" t="s">
        <v>61</v>
      </c>
      <c r="B66" s="40">
        <v>3600</v>
      </c>
      <c r="C66" s="26">
        <v>42238</v>
      </c>
      <c r="D66" s="27">
        <v>42239</v>
      </c>
      <c r="E66" s="41" t="s">
        <v>67</v>
      </c>
      <c r="F66" s="42" t="s">
        <v>76</v>
      </c>
      <c r="G66" s="43">
        <f>G44*_xlfn.XLOOKUP($E66,'Emission Factors'!$A$12:$A$14,'Emission Factors'!$B$12:$B$14,0,0,1)*_xlfn.XLOOKUP($E66,'Emission Factors'!$A$21:$A$23,'Emission Factors'!$B$21:$B$23,0,0,1)/1000000</f>
        <v>0</v>
      </c>
      <c r="H66" s="43">
        <f>H44*_xlfn.XLOOKUP($E66,'Emission Factors'!$A$12:$A$14,'Emission Factors'!$B$12:$B$14,0,0,1)*_xlfn.XLOOKUP($E66,'Emission Factors'!$A$21:$A$23,'Emission Factors'!$B$21:$B$23,0,0,1)/1000000</f>
        <v>0</v>
      </c>
      <c r="I66" s="43">
        <f>I44*_xlfn.XLOOKUP($E66,'Emission Factors'!$A$12:$A$14,'Emission Factors'!$B$12:$B$14,0,0,1)*_xlfn.XLOOKUP($E66,'Emission Factors'!$A$21:$A$23,'Emission Factors'!$B$21:$B$23,0,0,1)/1000000</f>
        <v>0</v>
      </c>
      <c r="J66" s="43">
        <f>J44*_xlfn.XLOOKUP($E66,'Emission Factors'!$A$12:$A$14,'Emission Factors'!$B$12:$B$14,0,0,1)*_xlfn.XLOOKUP($E66,'Emission Factors'!$A$21:$A$23,'Emission Factors'!$B$21:$B$23,0,0,1)/1000000</f>
        <v>0</v>
      </c>
      <c r="K66" s="43">
        <f>K44*_xlfn.XLOOKUP($E66,'Emission Factors'!$A$12:$A$14,'Emission Factors'!$B$12:$B$14,0,0,1)*_xlfn.XLOOKUP($E66,'Emission Factors'!$A$21:$A$23,'Emission Factors'!$B$21:$B$23,0,0,1)/1000000</f>
        <v>0</v>
      </c>
      <c r="L66" s="43">
        <f>L44*_xlfn.XLOOKUP($E66,'Emission Factors'!$A$12:$A$14,'Emission Factors'!$B$12:$B$14,0,0,1)*_xlfn.XLOOKUP($E66,'Emission Factors'!$A$21:$A$23,'Emission Factors'!$B$21:$B$23,0,0,1)/1000000</f>
        <v>0</v>
      </c>
      <c r="M66" s="43">
        <f>M44*_xlfn.XLOOKUP($E66,'Emission Factors'!$A$12:$A$14,'Emission Factors'!$B$12:$B$14,0,0,1)*_xlfn.XLOOKUP($E66,'Emission Factors'!$A$21:$A$23,'Emission Factors'!$B$21:$B$23,0,0,1)/1000000</f>
        <v>2113147.6931412597</v>
      </c>
      <c r="N66" s="43">
        <f>N44*_xlfn.XLOOKUP($E66,'Emission Factors'!$A$12:$A$14,'Emission Factors'!$B$12:$B$14,0,0,1)*_xlfn.XLOOKUP($E66,'Emission Factors'!$A$21:$A$23,'Emission Factors'!$B$21:$B$23,0,0,1)/1000000</f>
        <v>4156424.3682841198</v>
      </c>
      <c r="O66" s="43">
        <f>O44*_xlfn.XLOOKUP($E66,'Emission Factors'!$A$12:$A$14,'Emission Factors'!$B$12:$B$14,0,0,1)*_xlfn.XLOOKUP($E66,'Emission Factors'!$A$21:$A$23,'Emission Factors'!$B$21:$B$23,0,0,1)/1000000</f>
        <v>12827794.130140699</v>
      </c>
      <c r="P66" s="43">
        <f>P44*_xlfn.XLOOKUP($E66,'Emission Factors'!$A$12:$A$14,'Emission Factors'!$B$12:$B$14,0,0,1)*_xlfn.XLOOKUP($E66,'Emission Factors'!$A$21:$A$23,'Emission Factors'!$B$21:$B$23,0,0,1)/1000000</f>
        <v>18587083.386685777</v>
      </c>
      <c r="Q66" s="43">
        <f>Q44*_xlfn.XLOOKUP($E66,'Emission Factors'!$A$12:$A$14,'Emission Factors'!$B$12:$B$14,0,0,1)*_xlfn.XLOOKUP($E66,'Emission Factors'!$A$21:$A$23,'Emission Factors'!$B$21:$B$23,0,0,1)/1000000</f>
        <v>18104491.237638015</v>
      </c>
      <c r="R66" s="43">
        <f>R44*_xlfn.XLOOKUP($E66,'Emission Factors'!$A$12:$A$14,'Emission Factors'!$B$12:$B$14,0,0,1)*_xlfn.XLOOKUP($E66,'Emission Factors'!$A$21:$A$23,'Emission Factors'!$B$21:$B$23,0,0,1)/1000000</f>
        <v>21049919.948567439</v>
      </c>
      <c r="S66" s="43">
        <f>S44*_xlfn.XLOOKUP($E66,'Emission Factors'!$A$12:$A$14,'Emission Factors'!$B$12:$B$14,0,0,1)*_xlfn.XLOOKUP($E66,'Emission Factors'!$A$21:$A$23,'Emission Factors'!$B$21:$B$23,0,0,1)/1000000</f>
        <v>20734829.101425078</v>
      </c>
      <c r="U66" s="47">
        <f t="shared" si="9"/>
        <v>19963080.095876843</v>
      </c>
      <c r="V66" s="47">
        <f t="shared" si="10"/>
        <v>20734829.101425078</v>
      </c>
    </row>
    <row r="67" spans="1:22" x14ac:dyDescent="0.25">
      <c r="A67" s="39" t="s">
        <v>62</v>
      </c>
      <c r="B67" s="40">
        <v>2880</v>
      </c>
      <c r="C67" s="26">
        <v>42977</v>
      </c>
      <c r="D67" s="27">
        <v>42977</v>
      </c>
      <c r="E67" s="41" t="s">
        <v>67</v>
      </c>
      <c r="F67" s="42" t="s">
        <v>76</v>
      </c>
      <c r="G67" s="43">
        <f>G45*_xlfn.XLOOKUP($E67,'Emission Factors'!$A$12:$A$14,'Emission Factors'!$B$12:$B$14,0,0,1)*_xlfn.XLOOKUP($E67,'Emission Factors'!$A$21:$A$23,'Emission Factors'!$B$21:$B$23,0,0,1)/1000000</f>
        <v>0</v>
      </c>
      <c r="H67" s="43">
        <f>H45*_xlfn.XLOOKUP($E67,'Emission Factors'!$A$12:$A$14,'Emission Factors'!$B$12:$B$14,0,0,1)*_xlfn.XLOOKUP($E67,'Emission Factors'!$A$21:$A$23,'Emission Factors'!$B$21:$B$23,0,0,1)/1000000</f>
        <v>0</v>
      </c>
      <c r="I67" s="43">
        <f>I45*_xlfn.XLOOKUP($E67,'Emission Factors'!$A$12:$A$14,'Emission Factors'!$B$12:$B$14,0,0,1)*_xlfn.XLOOKUP($E67,'Emission Factors'!$A$21:$A$23,'Emission Factors'!$B$21:$B$23,0,0,1)/1000000</f>
        <v>0</v>
      </c>
      <c r="J67" s="43">
        <f>J45*_xlfn.XLOOKUP($E67,'Emission Factors'!$A$12:$A$14,'Emission Factors'!$B$12:$B$14,0,0,1)*_xlfn.XLOOKUP($E67,'Emission Factors'!$A$21:$A$23,'Emission Factors'!$B$21:$B$23,0,0,1)/1000000</f>
        <v>0</v>
      </c>
      <c r="K67" s="43">
        <f>K45*_xlfn.XLOOKUP($E67,'Emission Factors'!$A$12:$A$14,'Emission Factors'!$B$12:$B$14,0,0,1)*_xlfn.XLOOKUP($E67,'Emission Factors'!$A$21:$A$23,'Emission Factors'!$B$21:$B$23,0,0,1)/1000000</f>
        <v>0</v>
      </c>
      <c r="L67" s="43">
        <f>L45*_xlfn.XLOOKUP($E67,'Emission Factors'!$A$12:$A$14,'Emission Factors'!$B$12:$B$14,0,0,1)*_xlfn.XLOOKUP($E67,'Emission Factors'!$A$21:$A$23,'Emission Factors'!$B$21:$B$23,0,0,1)/1000000</f>
        <v>0</v>
      </c>
      <c r="M67" s="43">
        <f>M45*_xlfn.XLOOKUP($E67,'Emission Factors'!$A$12:$A$14,'Emission Factors'!$B$12:$B$14,0,0,1)*_xlfn.XLOOKUP($E67,'Emission Factors'!$A$21:$A$23,'Emission Factors'!$B$21:$B$23,0,0,1)/1000000</f>
        <v>0</v>
      </c>
      <c r="N67" s="43">
        <f>N45*_xlfn.XLOOKUP($E67,'Emission Factors'!$A$12:$A$14,'Emission Factors'!$B$12:$B$14,0,0,1)*_xlfn.XLOOKUP($E67,'Emission Factors'!$A$21:$A$23,'Emission Factors'!$B$21:$B$23,0,0,1)/1000000</f>
        <v>0</v>
      </c>
      <c r="O67" s="43">
        <f>O45*_xlfn.XLOOKUP($E67,'Emission Factors'!$A$12:$A$14,'Emission Factors'!$B$12:$B$14,0,0,1)*_xlfn.XLOOKUP($E67,'Emission Factors'!$A$21:$A$23,'Emission Factors'!$B$21:$B$23,0,0,1)/1000000</f>
        <v>3982043.5155089195</v>
      </c>
      <c r="P67" s="43">
        <f>P45*_xlfn.XLOOKUP($E67,'Emission Factors'!$A$12:$A$14,'Emission Factors'!$B$12:$B$14,0,0,1)*_xlfn.XLOOKUP($E67,'Emission Factors'!$A$21:$A$23,'Emission Factors'!$B$21:$B$23,0,0,1)/1000000</f>
        <v>8570420.2337293793</v>
      </c>
      <c r="Q67" s="43">
        <f>Q45*_xlfn.XLOOKUP($E67,'Emission Factors'!$A$12:$A$14,'Emission Factors'!$B$12:$B$14,0,0,1)*_xlfn.XLOOKUP($E67,'Emission Factors'!$A$21:$A$23,'Emission Factors'!$B$21:$B$23,0,0,1)/1000000</f>
        <v>9360476.3855185583</v>
      </c>
      <c r="R67" s="43">
        <f>R45*_xlfn.XLOOKUP($E67,'Emission Factors'!$A$12:$A$14,'Emission Factors'!$B$12:$B$14,0,0,1)*_xlfn.XLOOKUP($E67,'Emission Factors'!$A$21:$A$23,'Emission Factors'!$B$21:$B$23,0,0,1)/1000000</f>
        <v>8869990.369071139</v>
      </c>
      <c r="S67" s="43">
        <f>S45*_xlfn.XLOOKUP($E67,'Emission Factors'!$A$12:$A$14,'Emission Factors'!$B$12:$B$14,0,0,1)*_xlfn.XLOOKUP($E67,'Emission Factors'!$A$21:$A$23,'Emission Factors'!$B$21:$B$23,0,0,1)/1000000</f>
        <v>9338257.8468334004</v>
      </c>
      <c r="U67" s="47">
        <f t="shared" si="9"/>
        <v>9189574.8671410326</v>
      </c>
      <c r="V67" s="47">
        <f t="shared" si="10"/>
        <v>9338257.8468334004</v>
      </c>
    </row>
    <row r="69" spans="1:22" x14ac:dyDescent="0.25">
      <c r="A69" s="53" t="s">
        <v>102</v>
      </c>
    </row>
    <row r="71" spans="1:22" ht="26.4" x14ac:dyDescent="0.25">
      <c r="A71" s="35" t="s">
        <v>66</v>
      </c>
      <c r="B71" s="36" t="s">
        <v>73</v>
      </c>
      <c r="C71" s="36" t="s">
        <v>42</v>
      </c>
      <c r="D71" s="37" t="s">
        <v>26</v>
      </c>
      <c r="E71" s="37" t="s">
        <v>65</v>
      </c>
      <c r="F71" s="38" t="s">
        <v>28</v>
      </c>
      <c r="G71" s="38" t="s">
        <v>29</v>
      </c>
      <c r="H71" s="38" t="s">
        <v>30</v>
      </c>
      <c r="I71" s="38" t="s">
        <v>31</v>
      </c>
      <c r="J71" s="38" t="s">
        <v>32</v>
      </c>
      <c r="K71" s="38" t="s">
        <v>33</v>
      </c>
      <c r="L71" s="38" t="s">
        <v>34</v>
      </c>
      <c r="M71" s="38" t="s">
        <v>35</v>
      </c>
      <c r="N71" s="38" t="s">
        <v>36</v>
      </c>
      <c r="O71" s="38" t="s">
        <v>37</v>
      </c>
      <c r="P71" s="38" t="s">
        <v>38</v>
      </c>
      <c r="Q71" s="38" t="s">
        <v>39</v>
      </c>
      <c r="R71" s="38" t="s">
        <v>40</v>
      </c>
      <c r="S71" s="38" t="s">
        <v>41</v>
      </c>
    </row>
    <row r="72" spans="1:22" x14ac:dyDescent="0.25">
      <c r="A72" s="39" t="s">
        <v>43</v>
      </c>
      <c r="B72" s="40">
        <v>1098</v>
      </c>
      <c r="C72" s="26">
        <v>25700</v>
      </c>
      <c r="D72" s="27">
        <v>25700</v>
      </c>
      <c r="E72" s="41" t="s">
        <v>67</v>
      </c>
      <c r="F72" s="42" t="s">
        <v>76</v>
      </c>
      <c r="G72" s="54">
        <f>G49/G3</f>
        <v>1.1089106004238189</v>
      </c>
      <c r="H72" s="54">
        <f t="shared" ref="H72:S72" si="11">H49/H3</f>
        <v>1.1130153294095582</v>
      </c>
      <c r="I72" s="54">
        <f t="shared" si="11"/>
        <v>1.1262790654671395</v>
      </c>
      <c r="J72" s="54">
        <f t="shared" si="11"/>
        <v>1.1140263445086807</v>
      </c>
      <c r="K72" s="54">
        <f t="shared" si="11"/>
        <v>1.1919459759620321</v>
      </c>
      <c r="L72" s="54">
        <f t="shared" si="11"/>
        <v>1.1251094635803494</v>
      </c>
      <c r="M72" s="54">
        <f t="shared" si="11"/>
        <v>1.1155131488103021</v>
      </c>
      <c r="N72" s="54">
        <f t="shared" si="11"/>
        <v>1.2472691094861208</v>
      </c>
      <c r="O72" s="54">
        <f t="shared" si="11"/>
        <v>1.1915761014532718</v>
      </c>
      <c r="P72" s="54">
        <f t="shared" si="11"/>
        <v>1.1906525934853633</v>
      </c>
      <c r="Q72" s="54">
        <f t="shared" si="11"/>
        <v>1.1508060527928476</v>
      </c>
      <c r="R72" s="54">
        <f t="shared" si="11"/>
        <v>1.1838518695259885</v>
      </c>
      <c r="S72" s="54">
        <f t="shared" si="11"/>
        <v>1.2902106172337053</v>
      </c>
      <c r="U72" s="47"/>
      <c r="V72" s="47"/>
    </row>
    <row r="73" spans="1:22" x14ac:dyDescent="0.25">
      <c r="A73" s="39" t="s">
        <v>45</v>
      </c>
      <c r="B73" s="40">
        <v>2100</v>
      </c>
      <c r="C73" s="26">
        <v>26197</v>
      </c>
      <c r="D73" s="27">
        <v>26197</v>
      </c>
      <c r="E73" s="41" t="s">
        <v>67</v>
      </c>
      <c r="F73" s="42" t="s">
        <v>76</v>
      </c>
      <c r="G73" s="54">
        <f t="shared" ref="G73:S73" si="12">G50/G4</f>
        <v>0.99227905586055065</v>
      </c>
      <c r="H73" s="54">
        <f t="shared" si="12"/>
        <v>1.0668030523129994</v>
      </c>
      <c r="I73" s="54">
        <f t="shared" si="12"/>
        <v>1.0404626564607649</v>
      </c>
      <c r="J73" s="54">
        <f t="shared" si="12"/>
        <v>1.0376002411753997</v>
      </c>
      <c r="K73" s="54">
        <f t="shared" si="12"/>
        <v>1.0487037179463101</v>
      </c>
      <c r="L73" s="54">
        <f t="shared" si="12"/>
        <v>1.0768846760067148</v>
      </c>
      <c r="M73" s="54">
        <f t="shared" si="12"/>
        <v>1.6413229339014979</v>
      </c>
      <c r="N73" s="54">
        <f t="shared" si="12"/>
        <v>1.003465664711406</v>
      </c>
      <c r="O73" s="54">
        <f t="shared" si="12"/>
        <v>1.1028306314341241</v>
      </c>
      <c r="P73" s="54">
        <f t="shared" si="12"/>
        <v>1.0328080276601221</v>
      </c>
      <c r="Q73" s="54">
        <f t="shared" si="12"/>
        <v>1.0347350540020213</v>
      </c>
      <c r="R73" s="54">
        <f t="shared" si="12"/>
        <v>1.0586559457024278</v>
      </c>
      <c r="S73" s="54">
        <f t="shared" si="12"/>
        <v>1.0572433030589903</v>
      </c>
      <c r="U73" s="47"/>
      <c r="V73" s="47"/>
    </row>
    <row r="74" spans="1:22" x14ac:dyDescent="0.25">
      <c r="A74" s="39" t="s">
        <v>46</v>
      </c>
      <c r="B74" s="40">
        <v>2640</v>
      </c>
      <c r="C74" s="26">
        <v>27886</v>
      </c>
      <c r="D74" s="27">
        <v>27886</v>
      </c>
      <c r="E74" s="41" t="s">
        <v>67</v>
      </c>
      <c r="F74" s="42" t="s">
        <v>76</v>
      </c>
      <c r="G74" s="54">
        <f t="shared" ref="G74:S74" si="13">G51/G5</f>
        <v>0.97042558697847459</v>
      </c>
      <c r="H74" s="54">
        <f t="shared" si="13"/>
        <v>1.0139925274745485</v>
      </c>
      <c r="I74" s="54">
        <f t="shared" si="13"/>
        <v>0.99626978489083107</v>
      </c>
      <c r="J74" s="54">
        <f t="shared" si="13"/>
        <v>1.0460367277037246</v>
      </c>
      <c r="K74" s="54">
        <f t="shared" si="13"/>
        <v>0.98219526108109745</v>
      </c>
      <c r="L74" s="54">
        <f t="shared" si="13"/>
        <v>1.005532545819174</v>
      </c>
      <c r="M74" s="54">
        <f t="shared" si="13"/>
        <v>1.0117333036815825</v>
      </c>
      <c r="N74" s="54">
        <f t="shared" si="13"/>
        <v>0.998840164516552</v>
      </c>
      <c r="O74" s="54">
        <f t="shared" si="13"/>
        <v>1.0708148107437292</v>
      </c>
      <c r="P74" s="54">
        <f t="shared" si="13"/>
        <v>1.1122583709699725</v>
      </c>
      <c r="Q74" s="54">
        <f t="shared" si="13"/>
        <v>1.0958452774782299</v>
      </c>
      <c r="R74" s="54">
        <f t="shared" si="13"/>
        <v>1.1538014224609703</v>
      </c>
      <c r="S74" s="54">
        <f t="shared" si="13"/>
        <v>1.1866454190470543</v>
      </c>
      <c r="U74" s="47"/>
      <c r="V74" s="47"/>
    </row>
    <row r="75" spans="1:22" x14ac:dyDescent="0.25">
      <c r="A75" s="39" t="s">
        <v>47</v>
      </c>
      <c r="B75" s="40">
        <v>171</v>
      </c>
      <c r="C75" s="26">
        <v>27893</v>
      </c>
      <c r="D75" s="27">
        <v>27893</v>
      </c>
      <c r="E75" s="41" t="s">
        <v>78</v>
      </c>
      <c r="F75" s="42" t="s">
        <v>76</v>
      </c>
      <c r="G75" s="54">
        <f t="shared" ref="G75:S75" si="14">G52/G6</f>
        <v>1.1799210043850805</v>
      </c>
      <c r="H75" s="54">
        <f t="shared" si="14"/>
        <v>1.0468344973774719</v>
      </c>
      <c r="I75" s="54">
        <f t="shared" si="14"/>
        <v>0.95136463903394264</v>
      </c>
      <c r="J75" s="54">
        <f t="shared" si="14"/>
        <v>0.93870638224314795</v>
      </c>
      <c r="K75" s="54">
        <f t="shared" si="14"/>
        <v>1.012567870683754</v>
      </c>
      <c r="L75" s="54">
        <f t="shared" si="14"/>
        <v>0.93822942165385981</v>
      </c>
      <c r="M75" s="54">
        <f t="shared" si="14"/>
        <v>1.3251526281456953</v>
      </c>
      <c r="N75" s="54">
        <f t="shared" si="14"/>
        <v>2.5282354499999999</v>
      </c>
      <c r="O75" s="54">
        <f t="shared" si="14"/>
        <v>0.95739420403037379</v>
      </c>
      <c r="P75" s="54">
        <f t="shared" si="14"/>
        <v>1.2931795811643834</v>
      </c>
      <c r="Q75" s="54">
        <f t="shared" si="14"/>
        <v>0.99283806830265842</v>
      </c>
      <c r="R75" s="54">
        <f t="shared" si="14"/>
        <v>1.0567187527491408</v>
      </c>
      <c r="S75" s="54">
        <f t="shared" si="14"/>
        <v>1.0196666361552853</v>
      </c>
      <c r="U75" s="47"/>
      <c r="V75" s="47"/>
    </row>
    <row r="76" spans="1:22" x14ac:dyDescent="0.25">
      <c r="A76" s="39" t="s">
        <v>48</v>
      </c>
      <c r="B76" s="40">
        <v>171</v>
      </c>
      <c r="C76" s="26">
        <v>28033</v>
      </c>
      <c r="D76" s="27">
        <v>28033</v>
      </c>
      <c r="E76" s="41" t="s">
        <v>78</v>
      </c>
      <c r="F76" s="42" t="s">
        <v>76</v>
      </c>
      <c r="G76" s="54">
        <f t="shared" ref="G76:S76" si="15">G53/G7</f>
        <v>0.1346758484746686</v>
      </c>
      <c r="H76" s="54">
        <f t="shared" si="15"/>
        <v>1.0074617149398704</v>
      </c>
      <c r="I76" s="54">
        <f t="shared" si="15"/>
        <v>0.97404554342105265</v>
      </c>
      <c r="J76" s="54">
        <f t="shared" si="15"/>
        <v>0.93608513280075445</v>
      </c>
      <c r="K76" s="54">
        <f t="shared" si="15"/>
        <v>0.92851329553625717</v>
      </c>
      <c r="L76" s="54">
        <f t="shared" si="15"/>
        <v>0.9279285323476324</v>
      </c>
      <c r="M76" s="54">
        <f t="shared" si="15"/>
        <v>2.3661476451219507</v>
      </c>
      <c r="N76" s="54">
        <f t="shared" si="15"/>
        <v>1.9198004428571427</v>
      </c>
      <c r="O76" s="54">
        <f t="shared" si="15"/>
        <v>0.97853221494124221</v>
      </c>
      <c r="P76" s="54">
        <f t="shared" si="15"/>
        <v>1.0629292345183485</v>
      </c>
      <c r="Q76" s="54">
        <f t="shared" si="15"/>
        <v>1.110909971757035</v>
      </c>
      <c r="R76" s="54">
        <f t="shared" si="15"/>
        <v>1.0223041613660617</v>
      </c>
      <c r="S76" s="54">
        <f t="shared" si="15"/>
        <v>0.95556782501661108</v>
      </c>
      <c r="U76" s="47"/>
      <c r="V76" s="47"/>
    </row>
    <row r="77" spans="1:22" x14ac:dyDescent="0.25">
      <c r="A77" s="39" t="s">
        <v>49</v>
      </c>
      <c r="B77" s="40">
        <v>3450</v>
      </c>
      <c r="C77" s="26">
        <v>29127</v>
      </c>
      <c r="D77" s="27">
        <v>29127</v>
      </c>
      <c r="E77" s="41" t="s">
        <v>67</v>
      </c>
      <c r="F77" s="42" t="s">
        <v>76</v>
      </c>
      <c r="G77" s="54">
        <f t="shared" ref="G77:S77" si="16">G54/G8</f>
        <v>1.048161992928988</v>
      </c>
      <c r="H77" s="54">
        <f t="shared" si="16"/>
        <v>1.0207782861201784</v>
      </c>
      <c r="I77" s="54">
        <f t="shared" si="16"/>
        <v>1.0200931314315589</v>
      </c>
      <c r="J77" s="54">
        <f t="shared" si="16"/>
        <v>1.0167910978995254</v>
      </c>
      <c r="K77" s="54">
        <f t="shared" si="16"/>
        <v>1.0530028473539699</v>
      </c>
      <c r="L77" s="54">
        <f t="shared" si="16"/>
        <v>1.0379808390854883</v>
      </c>
      <c r="M77" s="54">
        <f t="shared" si="16"/>
        <v>1.0128289030979267</v>
      </c>
      <c r="N77" s="54">
        <f t="shared" si="16"/>
        <v>1.0833618636928519</v>
      </c>
      <c r="O77" s="54">
        <f t="shared" si="16"/>
        <v>1.0643684276909255</v>
      </c>
      <c r="P77" s="54">
        <f t="shared" si="16"/>
        <v>1.0524326643037969</v>
      </c>
      <c r="Q77" s="54">
        <f t="shared" si="16"/>
        <v>1.0685160981134558</v>
      </c>
      <c r="R77" s="54">
        <f t="shared" si="16"/>
        <v>1.0919816024619273</v>
      </c>
      <c r="S77" s="54">
        <f t="shared" si="16"/>
        <v>1.1656175541471105</v>
      </c>
      <c r="U77" s="47"/>
      <c r="V77" s="47"/>
    </row>
    <row r="78" spans="1:22" x14ac:dyDescent="0.25">
      <c r="A78" s="39" t="s">
        <v>50</v>
      </c>
      <c r="B78" s="40">
        <v>2875</v>
      </c>
      <c r="C78" s="26">
        <v>29238</v>
      </c>
      <c r="D78" s="27">
        <v>29238</v>
      </c>
      <c r="E78" s="41" t="s">
        <v>67</v>
      </c>
      <c r="F78" s="42" t="s">
        <v>76</v>
      </c>
      <c r="G78" s="54">
        <f t="shared" ref="G78:S78" si="17">G55/G9</f>
        <v>0.97342540124258692</v>
      </c>
      <c r="H78" s="54">
        <f t="shared" si="17"/>
        <v>0.96687051908687049</v>
      </c>
      <c r="I78" s="54">
        <f t="shared" si="17"/>
        <v>0.96990936682665563</v>
      </c>
      <c r="J78" s="54">
        <f t="shared" si="17"/>
        <v>1.0077407393196227</v>
      </c>
      <c r="K78" s="54">
        <f t="shared" si="17"/>
        <v>1.0205397389897559</v>
      </c>
      <c r="L78" s="54">
        <f t="shared" si="17"/>
        <v>1.0022966975957044</v>
      </c>
      <c r="M78" s="54">
        <f t="shared" si="17"/>
        <v>0.96206553671998152</v>
      </c>
      <c r="N78" s="54">
        <f t="shared" si="17"/>
        <v>0.98162998877317797</v>
      </c>
      <c r="O78" s="54">
        <f t="shared" si="17"/>
        <v>1.0271758295733993</v>
      </c>
      <c r="P78" s="54">
        <f t="shared" si="17"/>
        <v>1.0822743732531652</v>
      </c>
      <c r="Q78" s="54">
        <f t="shared" si="17"/>
        <v>1.0866328809997863</v>
      </c>
      <c r="R78" s="54">
        <f t="shared" si="17"/>
        <v>1.0821453099926199</v>
      </c>
      <c r="S78" s="54">
        <f t="shared" si="17"/>
        <v>1.05341630459893</v>
      </c>
      <c r="U78" s="47"/>
      <c r="V78" s="47"/>
    </row>
    <row r="79" spans="1:22" x14ac:dyDescent="0.25">
      <c r="A79" s="39" t="s">
        <v>51</v>
      </c>
      <c r="B79" s="40">
        <v>3510</v>
      </c>
      <c r="C79" s="26">
        <v>31199</v>
      </c>
      <c r="D79" s="27">
        <v>31199</v>
      </c>
      <c r="E79" s="41" t="s">
        <v>67</v>
      </c>
      <c r="F79" s="42" t="s">
        <v>76</v>
      </c>
      <c r="G79" s="54">
        <f t="shared" ref="G79:S79" si="18">G56/G10</f>
        <v>0.99115006502338288</v>
      </c>
      <c r="H79" s="54">
        <f t="shared" si="18"/>
        <v>1.0280634324859899</v>
      </c>
      <c r="I79" s="54">
        <f t="shared" si="18"/>
        <v>1.0529577966886068</v>
      </c>
      <c r="J79" s="54">
        <f t="shared" si="18"/>
        <v>1.0922818066078941</v>
      </c>
      <c r="K79" s="54">
        <f t="shared" si="18"/>
        <v>1.0443322209588506</v>
      </c>
      <c r="L79" s="54">
        <f t="shared" si="18"/>
        <v>1.0539083988491296</v>
      </c>
      <c r="M79" s="54">
        <f t="shared" si="18"/>
        <v>1.0734543791967159</v>
      </c>
      <c r="N79" s="54">
        <f t="shared" si="18"/>
        <v>1.0444110096752861</v>
      </c>
      <c r="O79" s="54">
        <f t="shared" si="18"/>
        <v>1.1095519678586656</v>
      </c>
      <c r="P79" s="54">
        <f t="shared" si="18"/>
        <v>1.1473005761438564</v>
      </c>
      <c r="Q79" s="54">
        <f t="shared" si="18"/>
        <v>1.1766926492030241</v>
      </c>
      <c r="R79" s="54">
        <f t="shared" si="18"/>
        <v>1.1986013819400787</v>
      </c>
      <c r="S79" s="54">
        <f t="shared" si="18"/>
        <v>1.151428752196384</v>
      </c>
      <c r="U79" s="47"/>
      <c r="V79" s="47"/>
    </row>
    <row r="80" spans="1:22" x14ac:dyDescent="0.25">
      <c r="A80" s="39" t="s">
        <v>52</v>
      </c>
      <c r="B80" s="40">
        <v>3558</v>
      </c>
      <c r="C80" s="26">
        <v>31403</v>
      </c>
      <c r="D80" s="27">
        <v>31403</v>
      </c>
      <c r="E80" s="41" t="s">
        <v>67</v>
      </c>
      <c r="F80" s="42" t="s">
        <v>76</v>
      </c>
      <c r="G80" s="54">
        <f t="shared" ref="G80:S80" si="19">G57/G11</f>
        <v>1.2925341248929376</v>
      </c>
      <c r="H80" s="54">
        <f t="shared" si="19"/>
        <v>1.3210120971416288</v>
      </c>
      <c r="I80" s="54">
        <f t="shared" si="19"/>
        <v>1.3182592288806214</v>
      </c>
      <c r="J80" s="54">
        <f t="shared" si="19"/>
        <v>1.3103280851390415</v>
      </c>
      <c r="K80" s="54">
        <f t="shared" si="19"/>
        <v>1.2657588046815651</v>
      </c>
      <c r="L80" s="54">
        <f t="shared" si="19"/>
        <v>1.3196219912056311</v>
      </c>
      <c r="M80" s="54">
        <f t="shared" si="19"/>
        <v>1.2981837125506464</v>
      </c>
      <c r="N80" s="54">
        <f t="shared" si="19"/>
        <v>1.3033740129743181</v>
      </c>
      <c r="O80" s="54">
        <f t="shared" si="19"/>
        <v>1.2962689008658619</v>
      </c>
      <c r="P80" s="54">
        <f t="shared" si="19"/>
        <v>1.2735273417362278</v>
      </c>
      <c r="Q80" s="54">
        <f t="shared" si="19"/>
        <v>1.2874071396077018</v>
      </c>
      <c r="R80" s="54">
        <f t="shared" si="19"/>
        <v>1.318653448118055</v>
      </c>
      <c r="S80" s="54">
        <f t="shared" si="19"/>
        <v>1.3578791245595492</v>
      </c>
      <c r="U80" s="47"/>
      <c r="V80" s="47"/>
    </row>
    <row r="81" spans="1:22" x14ac:dyDescent="0.25">
      <c r="A81" s="39" t="s">
        <v>53</v>
      </c>
      <c r="B81" s="40">
        <v>3690</v>
      </c>
      <c r="C81" s="26">
        <v>32115</v>
      </c>
      <c r="D81" s="27">
        <v>32115</v>
      </c>
      <c r="E81" s="41" t="s">
        <v>67</v>
      </c>
      <c r="F81" s="42" t="s">
        <v>76</v>
      </c>
      <c r="G81" s="54">
        <f t="shared" ref="G81:S81" si="20">G58/G12</f>
        <v>0.96109330474593502</v>
      </c>
      <c r="H81" s="54">
        <f t="shared" si="20"/>
        <v>0.99387097885221332</v>
      </c>
      <c r="I81" s="54">
        <f t="shared" si="20"/>
        <v>0.99050920442771917</v>
      </c>
      <c r="J81" s="54">
        <f t="shared" si="20"/>
        <v>0.99615526964524337</v>
      </c>
      <c r="K81" s="54">
        <f t="shared" si="20"/>
        <v>0.98246910926718256</v>
      </c>
      <c r="L81" s="54">
        <f t="shared" si="20"/>
        <v>0.96047323785548711</v>
      </c>
      <c r="M81" s="54">
        <f t="shared" si="20"/>
        <v>0.95775095629279416</v>
      </c>
      <c r="N81" s="54">
        <f t="shared" si="20"/>
        <v>0.97520423032975379</v>
      </c>
      <c r="O81" s="54">
        <f t="shared" si="20"/>
        <v>0.97830357152018721</v>
      </c>
      <c r="P81" s="54">
        <f t="shared" si="20"/>
        <v>0.97661250638844732</v>
      </c>
      <c r="Q81" s="54">
        <f t="shared" si="20"/>
        <v>1.01954003032883</v>
      </c>
      <c r="R81" s="54">
        <f t="shared" si="20"/>
        <v>1.074401850021129</v>
      </c>
      <c r="S81" s="54">
        <f t="shared" si="20"/>
        <v>1.050805226614562</v>
      </c>
      <c r="U81" s="47"/>
      <c r="V81" s="47"/>
    </row>
    <row r="82" spans="1:22" x14ac:dyDescent="0.25">
      <c r="A82" s="39" t="s">
        <v>54</v>
      </c>
      <c r="B82" s="40">
        <v>3840</v>
      </c>
      <c r="C82" s="26">
        <v>32417</v>
      </c>
      <c r="D82" s="27">
        <v>32417</v>
      </c>
      <c r="E82" s="41" t="s">
        <v>67</v>
      </c>
      <c r="F82" s="42" t="s">
        <v>76</v>
      </c>
      <c r="G82" s="54">
        <f t="shared" ref="G82:S82" si="21">G59/G13</f>
        <v>1.0970911750667971</v>
      </c>
      <c r="H82" s="54">
        <f t="shared" si="21"/>
        <v>1.0822324923002102</v>
      </c>
      <c r="I82" s="54">
        <f t="shared" si="21"/>
        <v>1.0890294843554251</v>
      </c>
      <c r="J82" s="54">
        <f t="shared" si="21"/>
        <v>1.1114229682183732</v>
      </c>
      <c r="K82" s="54">
        <f t="shared" si="21"/>
        <v>1.0635555391277591</v>
      </c>
      <c r="L82" s="54">
        <f t="shared" si="21"/>
        <v>1.0856468446858634</v>
      </c>
      <c r="M82" s="54">
        <f t="shared" si="21"/>
        <v>1.0883346736679342</v>
      </c>
      <c r="N82" s="54">
        <f t="shared" si="21"/>
        <v>1.1667595750926574</v>
      </c>
      <c r="O82" s="54">
        <f t="shared" si="21"/>
        <v>1.1764376013665938</v>
      </c>
      <c r="P82" s="54">
        <f t="shared" si="21"/>
        <v>1.2182080088915037</v>
      </c>
      <c r="Q82" s="54">
        <f t="shared" si="21"/>
        <v>1.1381756252453294</v>
      </c>
      <c r="R82" s="54">
        <f t="shared" si="21"/>
        <v>1.146722301324639</v>
      </c>
      <c r="S82" s="54">
        <f t="shared" si="21"/>
        <v>1.1061936543380955</v>
      </c>
      <c r="U82" s="47"/>
      <c r="V82" s="47"/>
    </row>
    <row r="83" spans="1:22" x14ac:dyDescent="0.25">
      <c r="A83" s="39" t="s">
        <v>55</v>
      </c>
      <c r="B83" s="40">
        <v>3807</v>
      </c>
      <c r="C83" s="26">
        <v>35156</v>
      </c>
      <c r="D83" s="27">
        <v>35156</v>
      </c>
      <c r="E83" s="41" t="s">
        <v>67</v>
      </c>
      <c r="F83" s="42" t="s">
        <v>76</v>
      </c>
      <c r="G83" s="54">
        <f t="shared" ref="G83:S83" si="22">G60/G14</f>
        <v>0.98017641602400063</v>
      </c>
      <c r="H83" s="54">
        <f t="shared" si="22"/>
        <v>0.99061418169921123</v>
      </c>
      <c r="I83" s="54">
        <f t="shared" si="22"/>
        <v>0.99292139805493984</v>
      </c>
      <c r="J83" s="54">
        <f t="shared" si="22"/>
        <v>1.0196635907711249</v>
      </c>
      <c r="K83" s="54">
        <f t="shared" si="22"/>
        <v>1.0699368320375413</v>
      </c>
      <c r="L83" s="54">
        <f t="shared" si="22"/>
        <v>1.0026983080611402</v>
      </c>
      <c r="M83" s="54">
        <f t="shared" si="22"/>
        <v>1.0359446666107701</v>
      </c>
      <c r="N83" s="54">
        <f t="shared" si="22"/>
        <v>1.0339437610664273</v>
      </c>
      <c r="O83" s="54">
        <f t="shared" si="22"/>
        <v>1.0514966342196541</v>
      </c>
      <c r="P83" s="54">
        <f t="shared" si="22"/>
        <v>1.0310906558577977</v>
      </c>
      <c r="Q83" s="54">
        <f t="shared" si="22"/>
        <v>1.0836151636137319</v>
      </c>
      <c r="R83" s="54">
        <f t="shared" si="22"/>
        <v>1.1154687508049914</v>
      </c>
      <c r="S83" s="54">
        <f t="shared" si="22"/>
        <v>1.17306473361716</v>
      </c>
      <c r="U83" s="47"/>
      <c r="V83" s="47"/>
    </row>
    <row r="84" spans="1:22" x14ac:dyDescent="0.25">
      <c r="A84" s="39" t="s">
        <v>56</v>
      </c>
      <c r="B84" s="40">
        <v>1481</v>
      </c>
      <c r="C84" s="26">
        <v>24685</v>
      </c>
      <c r="D84" s="27">
        <v>38412</v>
      </c>
      <c r="E84" s="41" t="s">
        <v>67</v>
      </c>
      <c r="F84" s="42" t="s">
        <v>76</v>
      </c>
      <c r="G84" s="54">
        <f t="shared" ref="G84:S84" si="23">G61/G15</f>
        <v>1.1460792445660188</v>
      </c>
      <c r="H84" s="54">
        <f t="shared" si="23"/>
        <v>1.1046538849718035</v>
      </c>
      <c r="I84" s="54">
        <f t="shared" si="23"/>
        <v>1.8543263799999996</v>
      </c>
      <c r="J84" s="54">
        <f t="shared" si="23"/>
        <v>1.1256902556592621</v>
      </c>
      <c r="K84" s="54">
        <f t="shared" si="23"/>
        <v>1.1287447581113446</v>
      </c>
      <c r="L84" s="54">
        <f t="shared" si="23"/>
        <v>1.0640413292189002</v>
      </c>
      <c r="M84" s="54">
        <f t="shared" si="23"/>
        <v>1.073069091421553</v>
      </c>
      <c r="N84" s="54">
        <f t="shared" si="23"/>
        <v>1.075970107383446</v>
      </c>
      <c r="O84" s="54">
        <f t="shared" si="23"/>
        <v>1.1818571614021907</v>
      </c>
      <c r="P84" s="54">
        <f t="shared" si="23"/>
        <v>1.0394117006915398</v>
      </c>
      <c r="Q84" s="54">
        <f t="shared" si="23"/>
        <v>1.155711505534621</v>
      </c>
      <c r="R84" s="54">
        <f t="shared" si="23"/>
        <v>1.0931415193419824</v>
      </c>
      <c r="S84" s="54">
        <f t="shared" si="23"/>
        <v>1.037730875818953</v>
      </c>
      <c r="U84" s="47"/>
      <c r="V84" s="47"/>
    </row>
    <row r="85" spans="1:22" x14ac:dyDescent="0.25">
      <c r="A85" s="39" t="s">
        <v>57</v>
      </c>
      <c r="B85" s="40">
        <v>1327</v>
      </c>
      <c r="C85" s="26">
        <v>39142</v>
      </c>
      <c r="D85" s="27">
        <v>39142</v>
      </c>
      <c r="E85" s="41" t="s">
        <v>78</v>
      </c>
      <c r="F85" s="42" t="s">
        <v>76</v>
      </c>
      <c r="G85" s="54">
        <f t="shared" ref="G85:S85" si="24">G62/G16</f>
        <v>0.83427179973280297</v>
      </c>
      <c r="H85" s="54">
        <f t="shared" si="24"/>
        <v>0.81969813192413221</v>
      </c>
      <c r="I85" s="54">
        <f t="shared" si="24"/>
        <v>0.84152320634085476</v>
      </c>
      <c r="J85" s="54">
        <f t="shared" si="24"/>
        <v>0.82829405352643626</v>
      </c>
      <c r="K85" s="54">
        <f t="shared" si="24"/>
        <v>0.84533887769902638</v>
      </c>
      <c r="L85" s="54">
        <f t="shared" si="24"/>
        <v>0.83267380441648275</v>
      </c>
      <c r="M85" s="54">
        <f t="shared" si="24"/>
        <v>0.80703324234681673</v>
      </c>
      <c r="N85" s="54">
        <f t="shared" si="24"/>
        <v>0.80632639017597629</v>
      </c>
      <c r="O85" s="54">
        <f t="shared" si="24"/>
        <v>0.7565390302197641</v>
      </c>
      <c r="P85" s="54">
        <f t="shared" si="24"/>
        <v>0.83952515134932759</v>
      </c>
      <c r="Q85" s="54">
        <f t="shared" si="24"/>
        <v>0.83120942850265744</v>
      </c>
      <c r="R85" s="54">
        <f t="shared" si="24"/>
        <v>0.82929416728361016</v>
      </c>
      <c r="S85" s="54">
        <f t="shared" si="24"/>
        <v>0.82640342984294057</v>
      </c>
      <c r="U85" s="47"/>
      <c r="V85" s="47"/>
    </row>
    <row r="86" spans="1:22" x14ac:dyDescent="0.25">
      <c r="A86" s="39" t="s">
        <v>58</v>
      </c>
      <c r="B86" s="40">
        <v>740</v>
      </c>
      <c r="C86" s="26">
        <v>39264</v>
      </c>
      <c r="D86" s="27">
        <v>39264</v>
      </c>
      <c r="E86" s="41" t="s">
        <v>78</v>
      </c>
      <c r="F86" s="42" t="s">
        <v>76</v>
      </c>
      <c r="G86" s="54">
        <f t="shared" ref="G86:S86" si="25">G63/G17</f>
        <v>0.80920867255234363</v>
      </c>
      <c r="H86" s="54">
        <f t="shared" si="25"/>
        <v>0.80396836576270214</v>
      </c>
      <c r="I86" s="54">
        <f t="shared" si="25"/>
        <v>0.80926210043917146</v>
      </c>
      <c r="J86" s="54">
        <f t="shared" si="25"/>
        <v>0.79397284529215184</v>
      </c>
      <c r="K86" s="54">
        <f t="shared" si="25"/>
        <v>0.79588484737765652</v>
      </c>
      <c r="L86" s="54">
        <f t="shared" si="25"/>
        <v>0.82103262263825338</v>
      </c>
      <c r="M86" s="54">
        <f t="shared" si="25"/>
        <v>1.172095063688213</v>
      </c>
      <c r="N86" s="54">
        <f t="shared" si="25"/>
        <v>0.81963518351622122</v>
      </c>
      <c r="O86" s="54">
        <f t="shared" si="25"/>
        <v>0.80961181693540107</v>
      </c>
      <c r="P86" s="54">
        <f t="shared" si="25"/>
        <v>0.80465464916300389</v>
      </c>
      <c r="Q86" s="54">
        <f t="shared" si="25"/>
        <v>0.8245654731899339</v>
      </c>
      <c r="R86" s="54">
        <f t="shared" si="25"/>
        <v>0.81466296821239981</v>
      </c>
      <c r="S86" s="54">
        <f t="shared" si="25"/>
        <v>0.80662909836835439</v>
      </c>
      <c r="U86" s="47"/>
      <c r="V86" s="47"/>
    </row>
    <row r="87" spans="1:22" x14ac:dyDescent="0.25">
      <c r="A87" s="39" t="s">
        <v>59</v>
      </c>
      <c r="B87" s="40">
        <v>570</v>
      </c>
      <c r="C87" s="26">
        <v>25355</v>
      </c>
      <c r="D87" s="27">
        <v>39568</v>
      </c>
      <c r="E87" s="41" t="s">
        <v>67</v>
      </c>
      <c r="F87" s="42" t="s">
        <v>76</v>
      </c>
      <c r="G87" s="54">
        <f t="shared" ref="G87:S87" si="26">G64/G18</f>
        <v>1.1151093185602792</v>
      </c>
      <c r="H87" s="54">
        <f t="shared" si="26"/>
        <v>1.162800896860485</v>
      </c>
      <c r="I87" s="54">
        <f t="shared" si="26"/>
        <v>1.8543263799999998</v>
      </c>
      <c r="J87" s="54">
        <f t="shared" si="26"/>
        <v>1.1645391106174177</v>
      </c>
      <c r="K87" s="54">
        <f t="shared" si="26"/>
        <v>1.196587222660874</v>
      </c>
      <c r="L87" s="54">
        <f t="shared" si="26"/>
        <v>1.158133885703001</v>
      </c>
      <c r="M87" s="54">
        <f t="shared" si="26"/>
        <v>1.1510139422593906</v>
      </c>
      <c r="N87" s="54">
        <f t="shared" si="26"/>
        <v>1.1707633518058167</v>
      </c>
      <c r="O87" s="54">
        <f t="shared" si="26"/>
        <v>1.1217424529167668</v>
      </c>
      <c r="P87" s="54">
        <f t="shared" si="26"/>
        <v>1.2527310382606389</v>
      </c>
      <c r="Q87" s="54">
        <f t="shared" si="26"/>
        <v>1.2013298662916561</v>
      </c>
      <c r="R87" s="54">
        <f t="shared" si="26"/>
        <v>1.1711202548200159</v>
      </c>
      <c r="S87" s="54">
        <f t="shared" si="26"/>
        <v>1.1654148521395211</v>
      </c>
      <c r="U87" s="47"/>
      <c r="V87" s="47"/>
    </row>
    <row r="88" spans="1:22" x14ac:dyDescent="0.25">
      <c r="A88" s="39" t="s">
        <v>60</v>
      </c>
      <c r="B88" s="40">
        <v>990</v>
      </c>
      <c r="C88" s="26">
        <v>22591</v>
      </c>
      <c r="D88" s="27">
        <v>39903</v>
      </c>
      <c r="E88" s="41" t="s">
        <v>67</v>
      </c>
      <c r="F88" s="42" t="s">
        <v>76</v>
      </c>
      <c r="G88" s="54">
        <f t="shared" ref="G88:S88" si="27">G65/G19</f>
        <v>1.1440320697679429</v>
      </c>
      <c r="H88" s="54">
        <f t="shared" si="27"/>
        <v>1.0749444037720524</v>
      </c>
      <c r="I88" s="54">
        <f t="shared" si="27"/>
        <v>1.8543263799999998</v>
      </c>
      <c r="J88" s="54">
        <f t="shared" si="27"/>
        <v>1.0920680511702769</v>
      </c>
      <c r="K88" s="54">
        <f t="shared" si="27"/>
        <v>1.1320875845736</v>
      </c>
      <c r="L88" s="54">
        <f t="shared" si="27"/>
        <v>1.0906370426367975</v>
      </c>
      <c r="M88" s="54">
        <f t="shared" si="27"/>
        <v>1.1241344568030338</v>
      </c>
      <c r="N88" s="54">
        <f t="shared" si="27"/>
        <v>1.2013546855694497</v>
      </c>
      <c r="O88" s="54">
        <f t="shared" si="27"/>
        <v>1.0894353707813509</v>
      </c>
      <c r="P88" s="54">
        <f t="shared" si="27"/>
        <v>1.0509098428211796</v>
      </c>
      <c r="Q88" s="54">
        <f t="shared" si="27"/>
        <v>1.0523558959061425</v>
      </c>
      <c r="R88" s="54">
        <f t="shared" si="27"/>
        <v>1.0230250475985003</v>
      </c>
      <c r="S88" s="54">
        <f t="shared" si="27"/>
        <v>0.99388439668188333</v>
      </c>
      <c r="U88" s="47"/>
      <c r="V88" s="47"/>
    </row>
    <row r="89" spans="1:22" x14ac:dyDescent="0.25">
      <c r="A89" s="39" t="s">
        <v>61</v>
      </c>
      <c r="B89" s="40">
        <v>3600</v>
      </c>
      <c r="C89" s="26">
        <v>42238</v>
      </c>
      <c r="D89" s="27">
        <v>42239</v>
      </c>
      <c r="E89" s="41" t="s">
        <v>67</v>
      </c>
      <c r="F89" s="42" t="s">
        <v>76</v>
      </c>
      <c r="G89" s="54"/>
      <c r="H89" s="54"/>
      <c r="I89" s="54"/>
      <c r="J89" s="54"/>
      <c r="K89" s="54"/>
      <c r="L89" s="54"/>
      <c r="M89" s="54">
        <f t="shared" ref="M89:S89" si="28">M66/M20</f>
        <v>0.87023051595802259</v>
      </c>
      <c r="N89" s="54">
        <f t="shared" si="28"/>
        <v>0.94034963323867138</v>
      </c>
      <c r="O89" s="54">
        <f t="shared" si="28"/>
        <v>0.82659432261709964</v>
      </c>
      <c r="P89" s="54">
        <f t="shared" si="28"/>
        <v>0.93033273982667553</v>
      </c>
      <c r="Q89" s="54">
        <f t="shared" si="28"/>
        <v>0.91650235245444078</v>
      </c>
      <c r="R89" s="54">
        <f t="shared" si="28"/>
        <v>0.92986227377888586</v>
      </c>
      <c r="S89" s="54">
        <f t="shared" si="28"/>
        <v>0.89196592982224709</v>
      </c>
      <c r="U89" s="47"/>
      <c r="V89" s="47"/>
    </row>
    <row r="90" spans="1:22" x14ac:dyDescent="0.25">
      <c r="A90" s="39" t="s">
        <v>62</v>
      </c>
      <c r="B90" s="40">
        <v>2880</v>
      </c>
      <c r="C90" s="26">
        <v>42977</v>
      </c>
      <c r="D90" s="27">
        <v>42977</v>
      </c>
      <c r="E90" s="41" t="s">
        <v>67</v>
      </c>
      <c r="F90" s="42" t="s">
        <v>76</v>
      </c>
      <c r="G90" s="54"/>
      <c r="H90" s="54"/>
      <c r="I90" s="54"/>
      <c r="J90" s="54"/>
      <c r="K90" s="54"/>
      <c r="L90" s="54"/>
      <c r="M90" s="54"/>
      <c r="N90" s="54"/>
      <c r="O90" s="54">
        <f t="shared" ref="O90:S90" si="29">O67/O21</f>
        <v>1.0155175909362653</v>
      </c>
      <c r="P90" s="54">
        <f t="shared" si="29"/>
        <v>1.1445634610929443</v>
      </c>
      <c r="Q90" s="54">
        <f t="shared" si="29"/>
        <v>1.0943595517140479</v>
      </c>
      <c r="R90" s="54">
        <f t="shared" si="29"/>
        <v>1.1098324087519875</v>
      </c>
      <c r="S90" s="54">
        <f t="shared" si="29"/>
        <v>1.0239906159995815</v>
      </c>
      <c r="U90" s="47"/>
      <c r="V90" s="47"/>
    </row>
    <row r="92" spans="1:22" x14ac:dyDescent="0.25">
      <c r="A92" s="53" t="s">
        <v>105</v>
      </c>
    </row>
    <row r="94" spans="1:22" x14ac:dyDescent="0.25">
      <c r="A94" s="34" t="s">
        <v>176</v>
      </c>
      <c r="B94" s="34" t="s">
        <v>177</v>
      </c>
      <c r="D94" s="34" t="s">
        <v>178</v>
      </c>
      <c r="E94" s="34" t="s">
        <v>179</v>
      </c>
    </row>
    <row r="95" spans="1:22" ht="14.4" x14ac:dyDescent="0.3">
      <c r="A95" s="9" t="s">
        <v>106</v>
      </c>
      <c r="B95" s="58">
        <f>SUM(P120:P129)</f>
        <v>1219826</v>
      </c>
      <c r="C95" s="9" t="s">
        <v>107</v>
      </c>
      <c r="D95" s="59">
        <f>MIN(Q120:Q129)</f>
        <v>41425</v>
      </c>
      <c r="E95" s="9" t="s">
        <v>108</v>
      </c>
      <c r="F95" s="56" t="s">
        <v>109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</row>
    <row r="96" spans="1:22" ht="14.4" x14ac:dyDescent="0.3">
      <c r="A96" s="9" t="s">
        <v>110</v>
      </c>
      <c r="B96" s="58">
        <f>SUM(T120:T121)</f>
        <v>318056</v>
      </c>
      <c r="C96" s="9" t="s">
        <v>107</v>
      </c>
      <c r="D96" s="59">
        <f>MIN(U120:U121)</f>
        <v>41730</v>
      </c>
      <c r="E96" s="9" t="s">
        <v>108</v>
      </c>
      <c r="F96" s="5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</row>
    <row r="97" spans="1:22" ht="14.4" x14ac:dyDescent="0.3">
      <c r="A97" s="9" t="s">
        <v>111</v>
      </c>
      <c r="B97" s="58">
        <v>509303</v>
      </c>
      <c r="C97" s="9" t="s">
        <v>107</v>
      </c>
      <c r="D97" s="59">
        <v>44317</v>
      </c>
      <c r="E97" s="9" t="s">
        <v>108</v>
      </c>
      <c r="F97" s="56" t="s">
        <v>112</v>
      </c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</row>
    <row r="98" spans="1:22" ht="14.4" x14ac:dyDescent="0.3">
      <c r="A98" s="9" t="s">
        <v>113</v>
      </c>
      <c r="B98" s="58">
        <v>22500</v>
      </c>
      <c r="C98" s="9" t="s">
        <v>107</v>
      </c>
      <c r="D98" s="59">
        <v>44181</v>
      </c>
      <c r="E98" s="9" t="s">
        <v>114</v>
      </c>
      <c r="F98" s="56" t="s">
        <v>115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</row>
    <row r="99" spans="1:22" ht="14.4" x14ac:dyDescent="0.3">
      <c r="A99" s="9" t="s">
        <v>116</v>
      </c>
      <c r="B99" s="58">
        <v>381930</v>
      </c>
      <c r="C99" s="9" t="s">
        <v>107</v>
      </c>
      <c r="D99" s="59">
        <v>43497</v>
      </c>
      <c r="E99" s="9" t="s">
        <v>108</v>
      </c>
      <c r="F99" s="56" t="s">
        <v>117</v>
      </c>
      <c r="G99" s="56" t="s">
        <v>118</v>
      </c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</row>
    <row r="100" spans="1:22" ht="14.4" x14ac:dyDescent="0.3">
      <c r="A100" s="9" t="s">
        <v>119</v>
      </c>
      <c r="B100" s="58">
        <v>290500</v>
      </c>
      <c r="C100" s="9" t="s">
        <v>107</v>
      </c>
      <c r="D100" s="59">
        <v>43039</v>
      </c>
      <c r="E100" s="9" t="s">
        <v>120</v>
      </c>
      <c r="F100" s="56" t="s">
        <v>121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</row>
    <row r="101" spans="1:22" ht="14.4" x14ac:dyDescent="0.3">
      <c r="A101" s="9" t="s">
        <v>122</v>
      </c>
      <c r="B101" s="58">
        <v>439600</v>
      </c>
      <c r="C101" s="9" t="s">
        <v>107</v>
      </c>
      <c r="D101" s="59">
        <v>43039</v>
      </c>
      <c r="E101" s="9" t="s">
        <v>120</v>
      </c>
      <c r="F101" s="56" t="s">
        <v>123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</row>
    <row r="102" spans="1:22" ht="14.4" x14ac:dyDescent="0.3">
      <c r="A102" s="9" t="s">
        <v>124</v>
      </c>
      <c r="B102" s="58">
        <v>450559</v>
      </c>
      <c r="C102" s="9" t="s">
        <v>107</v>
      </c>
      <c r="D102" s="59">
        <v>42536</v>
      </c>
      <c r="E102" s="9" t="s">
        <v>108</v>
      </c>
      <c r="F102" s="56" t="s">
        <v>125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</row>
    <row r="103" spans="1:22" ht="14.4" x14ac:dyDescent="0.3">
      <c r="A103" s="9" t="s">
        <v>126</v>
      </c>
      <c r="B103" s="58">
        <v>94870.8</v>
      </c>
      <c r="C103" s="9" t="s">
        <v>107</v>
      </c>
      <c r="D103" s="59">
        <v>42370</v>
      </c>
      <c r="E103" s="9" t="s">
        <v>108</v>
      </c>
      <c r="F103" s="56" t="s">
        <v>127</v>
      </c>
      <c r="G103" s="56" t="s">
        <v>128</v>
      </c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</row>
    <row r="104" spans="1:22" ht="14.4" x14ac:dyDescent="0.3">
      <c r="A104" s="9" t="s">
        <v>129</v>
      </c>
      <c r="B104" s="58">
        <v>293400</v>
      </c>
      <c r="C104" s="9" t="s">
        <v>107</v>
      </c>
      <c r="D104" s="59">
        <v>42095</v>
      </c>
      <c r="E104" s="9" t="s">
        <v>108</v>
      </c>
      <c r="F104" s="56" t="s">
        <v>130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</row>
    <row r="105" spans="1:22" ht="14.4" x14ac:dyDescent="0.3">
      <c r="A105" s="9" t="s">
        <v>131</v>
      </c>
      <c r="B105" s="58">
        <v>140180</v>
      </c>
      <c r="C105" s="9" t="s">
        <v>107</v>
      </c>
      <c r="D105" s="59">
        <v>42064</v>
      </c>
      <c r="E105" s="9" t="s">
        <v>108</v>
      </c>
      <c r="F105" s="56" t="s">
        <v>132</v>
      </c>
      <c r="G105" s="56" t="s">
        <v>133</v>
      </c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</row>
    <row r="106" spans="1:22" ht="14.4" x14ac:dyDescent="0.3">
      <c r="A106" s="9" t="s">
        <v>134</v>
      </c>
      <c r="B106" s="58">
        <v>20500</v>
      </c>
      <c r="C106" s="9" t="s">
        <v>107</v>
      </c>
      <c r="D106" s="59">
        <v>42013</v>
      </c>
      <c r="E106" s="9" t="s">
        <v>108</v>
      </c>
      <c r="F106" s="56" t="s">
        <v>135</v>
      </c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</row>
    <row r="107" spans="1:22" ht="14.4" x14ac:dyDescent="0.3">
      <c r="A107" s="9" t="s">
        <v>136</v>
      </c>
      <c r="B107" s="58">
        <v>66395</v>
      </c>
      <c r="C107" s="9" t="s">
        <v>107</v>
      </c>
      <c r="D107" s="59">
        <v>42005</v>
      </c>
      <c r="E107" s="9" t="s">
        <v>108</v>
      </c>
      <c r="F107" s="56" t="s">
        <v>137</v>
      </c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</row>
    <row r="108" spans="1:22" ht="14.4" x14ac:dyDescent="0.3">
      <c r="A108" s="9" t="s">
        <v>138</v>
      </c>
      <c r="B108" s="58">
        <v>372500</v>
      </c>
      <c r="C108" s="9" t="s">
        <v>107</v>
      </c>
      <c r="D108" s="59">
        <v>41962</v>
      </c>
      <c r="E108" s="9" t="s">
        <v>108</v>
      </c>
      <c r="F108" s="56" t="s">
        <v>139</v>
      </c>
      <c r="G108" s="56" t="s">
        <v>140</v>
      </c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</row>
    <row r="109" spans="1:22" ht="14.4" x14ac:dyDescent="0.3">
      <c r="A109" s="9" t="s">
        <v>141</v>
      </c>
      <c r="B109" s="58">
        <v>260074</v>
      </c>
      <c r="C109" s="9" t="s">
        <v>107</v>
      </c>
      <c r="D109" s="59">
        <v>41944</v>
      </c>
      <c r="E109" s="9" t="s">
        <v>108</v>
      </c>
      <c r="F109" s="56" t="s">
        <v>142</v>
      </c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</row>
    <row r="110" spans="1:22" ht="14.4" x14ac:dyDescent="0.3">
      <c r="A110" s="9" t="s">
        <v>143</v>
      </c>
      <c r="B110" s="58">
        <v>290500</v>
      </c>
      <c r="C110" s="9" t="s">
        <v>107</v>
      </c>
      <c r="D110" s="59">
        <v>41735</v>
      </c>
      <c r="E110" s="9" t="s">
        <v>108</v>
      </c>
      <c r="F110" s="56" t="s">
        <v>144</v>
      </c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1:22" ht="14.4" x14ac:dyDescent="0.3">
      <c r="A111" s="9" t="s">
        <v>145</v>
      </c>
      <c r="B111" s="58">
        <v>94527</v>
      </c>
      <c r="C111" s="9" t="s">
        <v>107</v>
      </c>
      <c r="D111" s="59">
        <v>41640</v>
      </c>
      <c r="E111" s="9" t="s">
        <v>108</v>
      </c>
      <c r="F111" s="56" t="s">
        <v>146</v>
      </c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</row>
    <row r="112" spans="1:22" ht="14.4" x14ac:dyDescent="0.3">
      <c r="A112" s="9" t="s">
        <v>147</v>
      </c>
      <c r="B112" s="58">
        <v>878438</v>
      </c>
      <c r="C112" s="9" t="s">
        <v>107</v>
      </c>
      <c r="D112" s="59">
        <v>41640</v>
      </c>
      <c r="E112" s="9" t="s">
        <v>108</v>
      </c>
      <c r="F112" s="56" t="s">
        <v>148</v>
      </c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</row>
    <row r="113" spans="1:22" ht="14.4" x14ac:dyDescent="0.3">
      <c r="A113" s="9" t="s">
        <v>149</v>
      </c>
      <c r="B113" s="58">
        <v>74267</v>
      </c>
      <c r="C113" s="9" t="s">
        <v>107</v>
      </c>
      <c r="D113" s="59">
        <v>41640</v>
      </c>
      <c r="E113" s="9" t="s">
        <v>108</v>
      </c>
      <c r="F113" s="56" t="s">
        <v>150</v>
      </c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</row>
    <row r="114" spans="1:22" ht="14.4" x14ac:dyDescent="0.3">
      <c r="A114" s="9" t="s">
        <v>151</v>
      </c>
      <c r="B114" s="58">
        <v>93093</v>
      </c>
      <c r="C114" s="9" t="s">
        <v>107</v>
      </c>
      <c r="D114" s="59">
        <v>41640</v>
      </c>
      <c r="E114" s="9" t="s">
        <v>108</v>
      </c>
      <c r="F114" s="56" t="s">
        <v>152</v>
      </c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</row>
    <row r="115" spans="1:22" ht="14.4" x14ac:dyDescent="0.3">
      <c r="A115" s="9" t="s">
        <v>153</v>
      </c>
      <c r="B115" s="58">
        <v>39483</v>
      </c>
      <c r="C115" s="9" t="s">
        <v>107</v>
      </c>
      <c r="D115" s="59">
        <v>41579</v>
      </c>
      <c r="E115" s="9" t="s">
        <v>108</v>
      </c>
      <c r="F115" s="56" t="s">
        <v>154</v>
      </c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</row>
    <row r="116" spans="1:22" ht="14.4" x14ac:dyDescent="0.3">
      <c r="A116" s="9" t="s">
        <v>155</v>
      </c>
      <c r="B116" s="58">
        <v>224000</v>
      </c>
      <c r="C116" s="9" t="s">
        <v>107</v>
      </c>
      <c r="D116" s="59">
        <v>41548</v>
      </c>
      <c r="E116" s="9" t="s">
        <v>108</v>
      </c>
      <c r="F116" s="5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</row>
    <row r="117" spans="1:22" ht="14.4" x14ac:dyDescent="0.3">
      <c r="A117" s="9" t="s">
        <v>156</v>
      </c>
      <c r="B117" s="58">
        <v>188500</v>
      </c>
      <c r="C117" s="9" t="s">
        <v>107</v>
      </c>
      <c r="D117" s="59">
        <v>41548</v>
      </c>
      <c r="E117" s="9" t="s">
        <v>108</v>
      </c>
      <c r="F117" s="56" t="s">
        <v>157</v>
      </c>
      <c r="G117"/>
      <c r="H117"/>
      <c r="I117"/>
      <c r="J117"/>
      <c r="K117"/>
      <c r="L117"/>
      <c r="M117"/>
      <c r="N117"/>
      <c r="O117" s="51" t="s">
        <v>106</v>
      </c>
      <c r="P117"/>
      <c r="Q117"/>
      <c r="R117"/>
      <c r="S117" s="51" t="s">
        <v>110</v>
      </c>
      <c r="T117"/>
      <c r="U117"/>
      <c r="V117"/>
    </row>
    <row r="118" spans="1:22" ht="14.4" x14ac:dyDescent="0.3">
      <c r="A118" s="9" t="s">
        <v>158</v>
      </c>
      <c r="B118" s="58">
        <v>54785</v>
      </c>
      <c r="C118" s="9" t="s">
        <v>107</v>
      </c>
      <c r="D118" s="59">
        <v>41467</v>
      </c>
      <c r="E118" s="9" t="s">
        <v>108</v>
      </c>
      <c r="F118" s="56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</row>
    <row r="119" spans="1:22" ht="14.4" x14ac:dyDescent="0.3">
      <c r="A119" s="9" t="s">
        <v>159</v>
      </c>
      <c r="B119" s="58">
        <v>18000</v>
      </c>
      <c r="C119" s="9" t="s">
        <v>107</v>
      </c>
      <c r="D119" s="59">
        <v>41456</v>
      </c>
      <c r="E119" s="9" t="s">
        <v>108</v>
      </c>
      <c r="F119" s="56" t="s">
        <v>160</v>
      </c>
      <c r="G119"/>
      <c r="H119"/>
      <c r="I119"/>
      <c r="J119"/>
      <c r="K119"/>
      <c r="L119"/>
      <c r="M119"/>
      <c r="N119"/>
      <c r="O119" t="s">
        <v>161</v>
      </c>
      <c r="P119" t="s">
        <v>99</v>
      </c>
      <c r="Q119" t="s">
        <v>162</v>
      </c>
      <c r="R119"/>
      <c r="S119" t="s">
        <v>161</v>
      </c>
      <c r="T119" t="s">
        <v>99</v>
      </c>
      <c r="U119" t="s">
        <v>162</v>
      </c>
      <c r="V119"/>
    </row>
    <row r="120" spans="1:22" ht="14.4" x14ac:dyDescent="0.3">
      <c r="A120" s="9" t="s">
        <v>163</v>
      </c>
      <c r="B120" s="58">
        <v>5500</v>
      </c>
      <c r="C120" s="9" t="s">
        <v>107</v>
      </c>
      <c r="D120" s="59">
        <v>40330</v>
      </c>
      <c r="E120" s="9" t="s">
        <v>108</v>
      </c>
      <c r="F120" s="56" t="s">
        <v>164</v>
      </c>
      <c r="G120"/>
      <c r="H120"/>
      <c r="I120"/>
      <c r="J120"/>
      <c r="K120"/>
      <c r="L120"/>
      <c r="M120"/>
      <c r="N120"/>
      <c r="O120" t="s">
        <v>165</v>
      </c>
      <c r="P120" s="4">
        <v>143967</v>
      </c>
      <c r="Q120" s="55">
        <v>41879</v>
      </c>
      <c r="R120"/>
      <c r="S120" t="s">
        <v>166</v>
      </c>
      <c r="T120" s="4">
        <v>58550</v>
      </c>
      <c r="U120" s="55">
        <v>41730</v>
      </c>
      <c r="V120"/>
    </row>
    <row r="121" spans="1:22" ht="14.4" x14ac:dyDescent="0.3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 t="s">
        <v>167</v>
      </c>
      <c r="P121" s="4">
        <v>165306</v>
      </c>
      <c r="Q121" s="55">
        <v>41821</v>
      </c>
      <c r="R121"/>
      <c r="S121" t="s">
        <v>168</v>
      </c>
      <c r="T121" s="4">
        <v>259506</v>
      </c>
      <c r="U121" s="55">
        <v>42094</v>
      </c>
      <c r="V121"/>
    </row>
    <row r="122" spans="1:22" ht="14.4" x14ac:dyDescent="0.3">
      <c r="A122"/>
      <c r="B122" s="5"/>
      <c r="C122"/>
      <c r="D122"/>
      <c r="E122"/>
      <c r="F122"/>
      <c r="G122"/>
      <c r="H122"/>
      <c r="I122"/>
      <c r="J122"/>
      <c r="K122"/>
      <c r="L122"/>
      <c r="M122"/>
      <c r="N122"/>
      <c r="O122" t="s">
        <v>169</v>
      </c>
      <c r="P122" s="4">
        <v>138554</v>
      </c>
      <c r="Q122" s="55">
        <v>41624</v>
      </c>
      <c r="R122"/>
      <c r="S122"/>
      <c r="T122"/>
      <c r="U122"/>
      <c r="V122"/>
    </row>
    <row r="123" spans="1:22" ht="14.4" x14ac:dyDescent="0.3">
      <c r="A123"/>
      <c r="B123" s="57"/>
      <c r="C123"/>
      <c r="D123"/>
      <c r="E123"/>
      <c r="F123"/>
      <c r="G123"/>
      <c r="H123"/>
      <c r="I123"/>
      <c r="J123"/>
      <c r="K123"/>
      <c r="L123"/>
      <c r="M123"/>
      <c r="N123"/>
      <c r="O123" t="s">
        <v>170</v>
      </c>
      <c r="P123" s="4">
        <v>139339</v>
      </c>
      <c r="Q123" s="55">
        <v>41624</v>
      </c>
      <c r="R123"/>
      <c r="S123"/>
      <c r="T123"/>
      <c r="U123"/>
      <c r="V123"/>
    </row>
    <row r="124" spans="1:22" ht="14.4" x14ac:dyDescent="0.3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 t="s">
        <v>171</v>
      </c>
      <c r="P124" s="4">
        <v>166423</v>
      </c>
      <c r="Q124" s="55">
        <v>42005</v>
      </c>
      <c r="R124"/>
      <c r="S124"/>
      <c r="T124"/>
      <c r="U124"/>
      <c r="V124"/>
    </row>
    <row r="125" spans="1:22" ht="14.4" x14ac:dyDescent="0.3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 t="s">
        <v>172</v>
      </c>
      <c r="P125" s="4">
        <v>166423</v>
      </c>
      <c r="Q125" s="55">
        <v>41699</v>
      </c>
      <c r="R125"/>
      <c r="S125"/>
      <c r="T125"/>
      <c r="U125"/>
      <c r="V125"/>
    </row>
    <row r="126" spans="1:22" ht="14.4" x14ac:dyDescent="0.3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 t="s">
        <v>173</v>
      </c>
      <c r="P126" s="4">
        <v>66171</v>
      </c>
      <c r="Q126" s="55">
        <v>41708</v>
      </c>
      <c r="R126"/>
      <c r="S126"/>
      <c r="T126"/>
      <c r="U126"/>
      <c r="V126"/>
    </row>
    <row r="127" spans="1:22" ht="14.4" x14ac:dyDescent="0.3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 t="s">
        <v>174</v>
      </c>
      <c r="P127" s="4">
        <v>54611</v>
      </c>
      <c r="Q127" s="55">
        <v>41617</v>
      </c>
      <c r="R127"/>
      <c r="S127"/>
      <c r="T127"/>
      <c r="U127"/>
      <c r="V127"/>
    </row>
    <row r="128" spans="1:22" ht="14.4" x14ac:dyDescent="0.3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 t="s">
        <v>175</v>
      </c>
      <c r="P128" s="4">
        <v>43231</v>
      </c>
      <c r="Q128" s="55">
        <v>41617</v>
      </c>
      <c r="R128"/>
      <c r="S128"/>
      <c r="T128"/>
      <c r="U128"/>
      <c r="V128"/>
    </row>
    <row r="129" spans="1:22" ht="14.4" x14ac:dyDescent="0.3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 t="s">
        <v>168</v>
      </c>
      <c r="P129" s="4">
        <v>135801</v>
      </c>
      <c r="Q129" s="55">
        <v>41425</v>
      </c>
      <c r="R129"/>
      <c r="S129"/>
      <c r="T129"/>
      <c r="U129"/>
      <c r="V129"/>
    </row>
    <row r="134" spans="1:22" x14ac:dyDescent="0.25">
      <c r="A134" s="53" t="s">
        <v>219</v>
      </c>
    </row>
    <row r="136" spans="1:22" x14ac:dyDescent="0.25">
      <c r="A136" s="34" t="s">
        <v>176</v>
      </c>
      <c r="B136" s="34" t="s">
        <v>183</v>
      </c>
      <c r="C136" s="34" t="s">
        <v>177</v>
      </c>
      <c r="D136" s="34" t="s">
        <v>184</v>
      </c>
      <c r="E136" s="34" t="s">
        <v>193</v>
      </c>
    </row>
    <row r="137" spans="1:22" x14ac:dyDescent="0.25">
      <c r="A137" s="34" t="s">
        <v>43</v>
      </c>
      <c r="B137" s="60">
        <f>C3</f>
        <v>25700</v>
      </c>
      <c r="C137" s="47">
        <f t="shared" ref="C137:C156" si="30">V3</f>
        <v>2136620</v>
      </c>
      <c r="D137" s="34">
        <f t="shared" ref="D137:D182" si="31">_xlfn.RANK.EQ(B137,$B$137:$B$182,0)</f>
        <v>43</v>
      </c>
      <c r="E137" s="63">
        <f>S72</f>
        <v>1.2902106172337053</v>
      </c>
    </row>
    <row r="138" spans="1:22" x14ac:dyDescent="0.25">
      <c r="A138" s="34" t="s">
        <v>45</v>
      </c>
      <c r="B138" s="60">
        <f t="shared" ref="B138:B156" si="32">C4</f>
        <v>26197</v>
      </c>
      <c r="C138" s="47">
        <f t="shared" si="30"/>
        <v>7530158</v>
      </c>
      <c r="D138" s="34">
        <f t="shared" si="31"/>
        <v>42</v>
      </c>
      <c r="E138" s="63">
        <f t="shared" ref="E138:E155" si="33">S73</f>
        <v>1.0572433030589903</v>
      </c>
    </row>
    <row r="139" spans="1:22" x14ac:dyDescent="0.25">
      <c r="A139" s="34" t="s">
        <v>46</v>
      </c>
      <c r="B139" s="60">
        <f t="shared" si="32"/>
        <v>27886</v>
      </c>
      <c r="C139" s="47">
        <f t="shared" si="30"/>
        <v>10727877</v>
      </c>
      <c r="D139" s="34">
        <f t="shared" si="31"/>
        <v>41</v>
      </c>
      <c r="E139" s="63">
        <f t="shared" si="33"/>
        <v>1.1866454190470543</v>
      </c>
    </row>
    <row r="140" spans="1:22" x14ac:dyDescent="0.25">
      <c r="A140" s="34" t="s">
        <v>47</v>
      </c>
      <c r="B140" s="60">
        <f t="shared" si="32"/>
        <v>27893</v>
      </c>
      <c r="C140" s="47">
        <f t="shared" si="30"/>
        <v>1069</v>
      </c>
      <c r="D140" s="34">
        <f t="shared" si="31"/>
        <v>40</v>
      </c>
      <c r="E140" s="63">
        <f t="shared" si="33"/>
        <v>1.0196666361552853</v>
      </c>
    </row>
    <row r="141" spans="1:22" x14ac:dyDescent="0.25">
      <c r="A141" s="34" t="s">
        <v>48</v>
      </c>
      <c r="B141" s="60">
        <f t="shared" si="32"/>
        <v>28033</v>
      </c>
      <c r="C141" s="47">
        <f t="shared" si="30"/>
        <v>3010</v>
      </c>
      <c r="D141" s="34">
        <f t="shared" si="31"/>
        <v>39</v>
      </c>
      <c r="E141" s="63">
        <f t="shared" si="33"/>
        <v>0.95556782501661108</v>
      </c>
    </row>
    <row r="142" spans="1:22" x14ac:dyDescent="0.25">
      <c r="A142" s="34" t="s">
        <v>49</v>
      </c>
      <c r="B142" s="60">
        <f t="shared" si="32"/>
        <v>29127</v>
      </c>
      <c r="C142" s="47">
        <f t="shared" si="30"/>
        <v>15170449</v>
      </c>
      <c r="D142" s="34">
        <f t="shared" si="31"/>
        <v>38</v>
      </c>
      <c r="E142" s="63">
        <f t="shared" si="33"/>
        <v>1.1656175541471105</v>
      </c>
    </row>
    <row r="143" spans="1:22" x14ac:dyDescent="0.25">
      <c r="A143" s="34" t="s">
        <v>50</v>
      </c>
      <c r="B143" s="60">
        <f t="shared" si="32"/>
        <v>29451</v>
      </c>
      <c r="C143" s="47">
        <f t="shared" si="30"/>
        <v>9555266</v>
      </c>
      <c r="D143" s="34">
        <f t="shared" si="31"/>
        <v>37</v>
      </c>
      <c r="E143" s="63">
        <f t="shared" si="33"/>
        <v>1.05341630459893</v>
      </c>
    </row>
    <row r="144" spans="1:22" x14ac:dyDescent="0.25">
      <c r="A144" s="34" t="s">
        <v>51</v>
      </c>
      <c r="B144" s="60">
        <f t="shared" si="32"/>
        <v>31199</v>
      </c>
      <c r="C144" s="47">
        <f t="shared" si="30"/>
        <v>7564337</v>
      </c>
      <c r="D144" s="34">
        <f t="shared" si="31"/>
        <v>35</v>
      </c>
      <c r="E144" s="63">
        <f t="shared" si="33"/>
        <v>1.151428752196384</v>
      </c>
    </row>
    <row r="145" spans="1:5" x14ac:dyDescent="0.25">
      <c r="A145" s="34" t="s">
        <v>52</v>
      </c>
      <c r="B145" s="60">
        <f t="shared" si="32"/>
        <v>31403</v>
      </c>
      <c r="C145" s="47">
        <f t="shared" si="30"/>
        <v>21367191</v>
      </c>
      <c r="D145" s="34">
        <f t="shared" si="31"/>
        <v>34</v>
      </c>
      <c r="E145" s="63">
        <f t="shared" si="33"/>
        <v>1.3578791245595492</v>
      </c>
    </row>
    <row r="146" spans="1:5" x14ac:dyDescent="0.25">
      <c r="A146" s="34" t="s">
        <v>53</v>
      </c>
      <c r="B146" s="60">
        <f t="shared" si="32"/>
        <v>32115</v>
      </c>
      <c r="C146" s="47">
        <f t="shared" si="30"/>
        <v>23257630</v>
      </c>
      <c r="D146" s="34">
        <f t="shared" si="31"/>
        <v>33</v>
      </c>
      <c r="E146" s="63">
        <f t="shared" si="33"/>
        <v>1.050805226614562</v>
      </c>
    </row>
    <row r="147" spans="1:5" x14ac:dyDescent="0.25">
      <c r="A147" s="34" t="s">
        <v>54</v>
      </c>
      <c r="B147" s="60">
        <f t="shared" si="32"/>
        <v>32417</v>
      </c>
      <c r="C147" s="47">
        <f t="shared" si="30"/>
        <v>15750630</v>
      </c>
      <c r="D147" s="34">
        <f t="shared" si="31"/>
        <v>32</v>
      </c>
      <c r="E147" s="63">
        <f t="shared" si="33"/>
        <v>1.1061936543380955</v>
      </c>
    </row>
    <row r="148" spans="1:5" x14ac:dyDescent="0.25">
      <c r="A148" s="34" t="s">
        <v>55</v>
      </c>
      <c r="B148" s="60">
        <f t="shared" si="32"/>
        <v>35156</v>
      </c>
      <c r="C148" s="47">
        <f t="shared" si="30"/>
        <v>15540628</v>
      </c>
      <c r="D148" s="34">
        <f t="shared" si="31"/>
        <v>31</v>
      </c>
      <c r="E148" s="63">
        <f t="shared" si="33"/>
        <v>1.17306473361716</v>
      </c>
    </row>
    <row r="149" spans="1:5" x14ac:dyDescent="0.25">
      <c r="A149" s="34" t="s">
        <v>56</v>
      </c>
      <c r="B149" s="60">
        <f t="shared" si="32"/>
        <v>24685</v>
      </c>
      <c r="C149" s="47">
        <f t="shared" si="30"/>
        <v>7378745</v>
      </c>
      <c r="D149" s="34">
        <f t="shared" si="31"/>
        <v>45</v>
      </c>
      <c r="E149" s="63">
        <f t="shared" si="33"/>
        <v>1.037730875818953</v>
      </c>
    </row>
    <row r="150" spans="1:5" x14ac:dyDescent="0.25">
      <c r="A150" s="34" t="s">
        <v>57</v>
      </c>
      <c r="B150" s="60">
        <f t="shared" si="32"/>
        <v>39142</v>
      </c>
      <c r="C150" s="47">
        <f t="shared" si="30"/>
        <v>1332491</v>
      </c>
      <c r="D150" s="34">
        <f t="shared" si="31"/>
        <v>30</v>
      </c>
      <c r="E150" s="63">
        <f t="shared" si="33"/>
        <v>0.82640342984294057</v>
      </c>
    </row>
    <row r="151" spans="1:5" x14ac:dyDescent="0.25">
      <c r="A151" s="34" t="s">
        <v>58</v>
      </c>
      <c r="B151" s="60">
        <f t="shared" si="32"/>
        <v>39264</v>
      </c>
      <c r="C151" s="47">
        <f t="shared" si="30"/>
        <v>1681217</v>
      </c>
      <c r="D151" s="34">
        <f t="shared" si="31"/>
        <v>29</v>
      </c>
      <c r="E151" s="63">
        <f t="shared" si="33"/>
        <v>0.80662909836835439</v>
      </c>
    </row>
    <row r="152" spans="1:5" x14ac:dyDescent="0.25">
      <c r="A152" s="34" t="s">
        <v>59</v>
      </c>
      <c r="B152" s="60">
        <f t="shared" si="32"/>
        <v>25355</v>
      </c>
      <c r="C152" s="47">
        <f t="shared" si="30"/>
        <v>2416293</v>
      </c>
      <c r="D152" s="34">
        <f t="shared" si="31"/>
        <v>44</v>
      </c>
      <c r="E152" s="63">
        <f t="shared" si="33"/>
        <v>1.1654148521395211</v>
      </c>
    </row>
    <row r="153" spans="1:5" x14ac:dyDescent="0.25">
      <c r="A153" s="34" t="s">
        <v>60</v>
      </c>
      <c r="B153" s="60">
        <f t="shared" si="32"/>
        <v>22591</v>
      </c>
      <c r="C153" s="47">
        <f t="shared" si="30"/>
        <v>369330</v>
      </c>
      <c r="D153" s="34">
        <f t="shared" si="31"/>
        <v>46</v>
      </c>
      <c r="E153" s="63">
        <f t="shared" si="33"/>
        <v>0.99388439668188333</v>
      </c>
    </row>
    <row r="154" spans="1:5" x14ac:dyDescent="0.25">
      <c r="A154" s="34" t="s">
        <v>61</v>
      </c>
      <c r="B154" s="60">
        <f t="shared" si="32"/>
        <v>42238</v>
      </c>
      <c r="C154" s="47">
        <f t="shared" si="30"/>
        <v>23246212</v>
      </c>
      <c r="D154" s="34">
        <f t="shared" si="31"/>
        <v>9</v>
      </c>
      <c r="E154" s="63">
        <f t="shared" si="33"/>
        <v>0.89196592982224709</v>
      </c>
    </row>
    <row r="155" spans="1:5" x14ac:dyDescent="0.25">
      <c r="A155" s="34" t="s">
        <v>62</v>
      </c>
      <c r="B155" s="60">
        <f t="shared" si="32"/>
        <v>42977</v>
      </c>
      <c r="C155" s="47">
        <f t="shared" si="30"/>
        <v>9119476</v>
      </c>
      <c r="D155" s="34">
        <f t="shared" si="31"/>
        <v>6</v>
      </c>
      <c r="E155" s="63">
        <f t="shared" si="33"/>
        <v>1.0239906159995815</v>
      </c>
    </row>
    <row r="156" spans="1:5" x14ac:dyDescent="0.25">
      <c r="A156" s="34" t="s">
        <v>92</v>
      </c>
      <c r="B156" s="60">
        <f t="shared" si="32"/>
        <v>30893</v>
      </c>
      <c r="C156" s="47">
        <f t="shared" si="30"/>
        <v>9803000</v>
      </c>
      <c r="D156" s="34">
        <f t="shared" si="31"/>
        <v>36</v>
      </c>
      <c r="E156" s="34">
        <v>0</v>
      </c>
    </row>
    <row r="157" spans="1:5" x14ac:dyDescent="0.25">
      <c r="A157" s="34" t="s">
        <v>106</v>
      </c>
      <c r="B157" s="61">
        <f>D95</f>
        <v>41425</v>
      </c>
      <c r="C157" s="62">
        <f>B95</f>
        <v>1219826</v>
      </c>
      <c r="D157" s="34">
        <f t="shared" si="31"/>
        <v>27</v>
      </c>
      <c r="E157" s="34">
        <v>0</v>
      </c>
    </row>
    <row r="158" spans="1:5" x14ac:dyDescent="0.25">
      <c r="A158" s="34" t="s">
        <v>110</v>
      </c>
      <c r="B158" s="61">
        <f t="shared" ref="B158:B182" si="34">D96</f>
        <v>41730</v>
      </c>
      <c r="C158" s="62">
        <f t="shared" ref="C158:C182" si="35">B96</f>
        <v>318056</v>
      </c>
      <c r="D158" s="34">
        <f t="shared" si="31"/>
        <v>17</v>
      </c>
      <c r="E158" s="34">
        <v>0</v>
      </c>
    </row>
    <row r="159" spans="1:5" x14ac:dyDescent="0.25">
      <c r="A159" s="34" t="s">
        <v>111</v>
      </c>
      <c r="B159" s="61">
        <f t="shared" si="34"/>
        <v>44317</v>
      </c>
      <c r="C159" s="62">
        <f t="shared" si="35"/>
        <v>509303</v>
      </c>
      <c r="D159" s="34">
        <f t="shared" si="31"/>
        <v>1</v>
      </c>
      <c r="E159" s="34">
        <v>0</v>
      </c>
    </row>
    <row r="160" spans="1:5" x14ac:dyDescent="0.25">
      <c r="A160" s="34" t="s">
        <v>113</v>
      </c>
      <c r="B160" s="61">
        <f t="shared" si="34"/>
        <v>44181</v>
      </c>
      <c r="C160" s="62">
        <f t="shared" si="35"/>
        <v>22500</v>
      </c>
      <c r="D160" s="34">
        <f t="shared" si="31"/>
        <v>2</v>
      </c>
      <c r="E160" s="34">
        <v>0</v>
      </c>
    </row>
    <row r="161" spans="1:5" x14ac:dyDescent="0.25">
      <c r="A161" s="34" t="s">
        <v>116</v>
      </c>
      <c r="B161" s="61">
        <f t="shared" si="34"/>
        <v>43497</v>
      </c>
      <c r="C161" s="62">
        <f t="shared" si="35"/>
        <v>381930</v>
      </c>
      <c r="D161" s="34">
        <f t="shared" si="31"/>
        <v>3</v>
      </c>
      <c r="E161" s="34">
        <v>0</v>
      </c>
    </row>
    <row r="162" spans="1:5" x14ac:dyDescent="0.25">
      <c r="A162" s="34" t="s">
        <v>119</v>
      </c>
      <c r="B162" s="61">
        <f t="shared" si="34"/>
        <v>43039</v>
      </c>
      <c r="C162" s="62">
        <f t="shared" si="35"/>
        <v>290500</v>
      </c>
      <c r="D162" s="34">
        <f t="shared" si="31"/>
        <v>4</v>
      </c>
      <c r="E162" s="34">
        <v>0</v>
      </c>
    </row>
    <row r="163" spans="1:5" x14ac:dyDescent="0.25">
      <c r="A163" s="34" t="s">
        <v>122</v>
      </c>
      <c r="B163" s="61">
        <f t="shared" si="34"/>
        <v>43039</v>
      </c>
      <c r="C163" s="62">
        <f t="shared" si="35"/>
        <v>439600</v>
      </c>
      <c r="D163" s="34">
        <f t="shared" si="31"/>
        <v>4</v>
      </c>
      <c r="E163" s="34">
        <v>0</v>
      </c>
    </row>
    <row r="164" spans="1:5" x14ac:dyDescent="0.25">
      <c r="A164" s="34" t="s">
        <v>124</v>
      </c>
      <c r="B164" s="61">
        <f t="shared" si="34"/>
        <v>42536</v>
      </c>
      <c r="C164" s="62">
        <f t="shared" si="35"/>
        <v>450559</v>
      </c>
      <c r="D164" s="34">
        <f t="shared" si="31"/>
        <v>7</v>
      </c>
      <c r="E164" s="34">
        <v>0</v>
      </c>
    </row>
    <row r="165" spans="1:5" x14ac:dyDescent="0.25">
      <c r="A165" s="34" t="s">
        <v>126</v>
      </c>
      <c r="B165" s="61">
        <f t="shared" si="34"/>
        <v>42370</v>
      </c>
      <c r="C165" s="62">
        <f t="shared" si="35"/>
        <v>94870.8</v>
      </c>
      <c r="D165" s="34">
        <f t="shared" si="31"/>
        <v>8</v>
      </c>
      <c r="E165" s="34">
        <v>0</v>
      </c>
    </row>
    <row r="166" spans="1:5" x14ac:dyDescent="0.25">
      <c r="A166" s="34" t="s">
        <v>129</v>
      </c>
      <c r="B166" s="61">
        <f t="shared" si="34"/>
        <v>42095</v>
      </c>
      <c r="C166" s="62">
        <f t="shared" si="35"/>
        <v>293400</v>
      </c>
      <c r="D166" s="34">
        <f t="shared" si="31"/>
        <v>10</v>
      </c>
      <c r="E166" s="34">
        <v>0</v>
      </c>
    </row>
    <row r="167" spans="1:5" x14ac:dyDescent="0.25">
      <c r="A167" s="34" t="s">
        <v>131</v>
      </c>
      <c r="B167" s="61">
        <f t="shared" si="34"/>
        <v>42064</v>
      </c>
      <c r="C167" s="62">
        <f t="shared" si="35"/>
        <v>140180</v>
      </c>
      <c r="D167" s="34">
        <f t="shared" si="31"/>
        <v>11</v>
      </c>
      <c r="E167" s="34">
        <v>0</v>
      </c>
    </row>
    <row r="168" spans="1:5" x14ac:dyDescent="0.25">
      <c r="A168" s="34" t="s">
        <v>134</v>
      </c>
      <c r="B168" s="61">
        <f t="shared" si="34"/>
        <v>42013</v>
      </c>
      <c r="C168" s="62">
        <f t="shared" si="35"/>
        <v>20500</v>
      </c>
      <c r="D168" s="34">
        <f t="shared" si="31"/>
        <v>12</v>
      </c>
      <c r="E168" s="34">
        <v>0</v>
      </c>
    </row>
    <row r="169" spans="1:5" x14ac:dyDescent="0.25">
      <c r="A169" s="34" t="s">
        <v>136</v>
      </c>
      <c r="B169" s="61">
        <f t="shared" si="34"/>
        <v>42005</v>
      </c>
      <c r="C169" s="62">
        <f t="shared" si="35"/>
        <v>66395</v>
      </c>
      <c r="D169" s="34">
        <f t="shared" si="31"/>
        <v>13</v>
      </c>
      <c r="E169" s="34">
        <v>0</v>
      </c>
    </row>
    <row r="170" spans="1:5" x14ac:dyDescent="0.25">
      <c r="A170" s="34" t="s">
        <v>138</v>
      </c>
      <c r="B170" s="61">
        <f t="shared" si="34"/>
        <v>41962</v>
      </c>
      <c r="C170" s="62">
        <f t="shared" si="35"/>
        <v>372500</v>
      </c>
      <c r="D170" s="34">
        <f t="shared" si="31"/>
        <v>14</v>
      </c>
      <c r="E170" s="34">
        <v>0</v>
      </c>
    </row>
    <row r="171" spans="1:5" x14ac:dyDescent="0.25">
      <c r="A171" s="34" t="s">
        <v>141</v>
      </c>
      <c r="B171" s="61">
        <f t="shared" si="34"/>
        <v>41944</v>
      </c>
      <c r="C171" s="62">
        <f t="shared" si="35"/>
        <v>260074</v>
      </c>
      <c r="D171" s="34">
        <f t="shared" si="31"/>
        <v>15</v>
      </c>
      <c r="E171" s="34">
        <v>0</v>
      </c>
    </row>
    <row r="172" spans="1:5" x14ac:dyDescent="0.25">
      <c r="A172" s="34" t="s">
        <v>143</v>
      </c>
      <c r="B172" s="61">
        <f t="shared" si="34"/>
        <v>41735</v>
      </c>
      <c r="C172" s="62">
        <f t="shared" si="35"/>
        <v>290500</v>
      </c>
      <c r="D172" s="34">
        <f t="shared" si="31"/>
        <v>16</v>
      </c>
      <c r="E172" s="34">
        <v>0</v>
      </c>
    </row>
    <row r="173" spans="1:5" x14ac:dyDescent="0.25">
      <c r="A173" s="34" t="s">
        <v>145</v>
      </c>
      <c r="B173" s="61">
        <f t="shared" si="34"/>
        <v>41640</v>
      </c>
      <c r="C173" s="62">
        <f t="shared" si="35"/>
        <v>94527</v>
      </c>
      <c r="D173" s="34">
        <f t="shared" si="31"/>
        <v>18</v>
      </c>
      <c r="E173" s="34">
        <v>0</v>
      </c>
    </row>
    <row r="174" spans="1:5" x14ac:dyDescent="0.25">
      <c r="A174" s="34" t="s">
        <v>147</v>
      </c>
      <c r="B174" s="61">
        <f t="shared" si="34"/>
        <v>41640</v>
      </c>
      <c r="C174" s="62">
        <f t="shared" si="35"/>
        <v>878438</v>
      </c>
      <c r="D174" s="34">
        <f t="shared" si="31"/>
        <v>18</v>
      </c>
      <c r="E174" s="34">
        <v>0</v>
      </c>
    </row>
    <row r="175" spans="1:5" x14ac:dyDescent="0.25">
      <c r="A175" s="34" t="s">
        <v>149</v>
      </c>
      <c r="B175" s="61">
        <f t="shared" si="34"/>
        <v>41640</v>
      </c>
      <c r="C175" s="62">
        <f t="shared" si="35"/>
        <v>74267</v>
      </c>
      <c r="D175" s="34">
        <f t="shared" si="31"/>
        <v>18</v>
      </c>
      <c r="E175" s="34">
        <v>0</v>
      </c>
    </row>
    <row r="176" spans="1:5" x14ac:dyDescent="0.25">
      <c r="A176" s="34" t="s">
        <v>151</v>
      </c>
      <c r="B176" s="61">
        <f t="shared" si="34"/>
        <v>41640</v>
      </c>
      <c r="C176" s="62">
        <f t="shared" si="35"/>
        <v>93093</v>
      </c>
      <c r="D176" s="34">
        <f t="shared" si="31"/>
        <v>18</v>
      </c>
      <c r="E176" s="34">
        <v>0</v>
      </c>
    </row>
    <row r="177" spans="1:5" x14ac:dyDescent="0.25">
      <c r="A177" s="34" t="s">
        <v>153</v>
      </c>
      <c r="B177" s="61">
        <f t="shared" si="34"/>
        <v>41579</v>
      </c>
      <c r="C177" s="62">
        <f t="shared" si="35"/>
        <v>39483</v>
      </c>
      <c r="D177" s="34">
        <f t="shared" si="31"/>
        <v>22</v>
      </c>
      <c r="E177" s="34">
        <v>0</v>
      </c>
    </row>
    <row r="178" spans="1:5" x14ac:dyDescent="0.25">
      <c r="A178" s="34" t="s">
        <v>155</v>
      </c>
      <c r="B178" s="61">
        <f t="shared" si="34"/>
        <v>41548</v>
      </c>
      <c r="C178" s="62">
        <f t="shared" si="35"/>
        <v>224000</v>
      </c>
      <c r="D178" s="34">
        <f t="shared" si="31"/>
        <v>23</v>
      </c>
      <c r="E178" s="34">
        <v>0</v>
      </c>
    </row>
    <row r="179" spans="1:5" x14ac:dyDescent="0.25">
      <c r="A179" s="34" t="s">
        <v>156</v>
      </c>
      <c r="B179" s="61">
        <f t="shared" si="34"/>
        <v>41548</v>
      </c>
      <c r="C179" s="62">
        <f t="shared" si="35"/>
        <v>188500</v>
      </c>
      <c r="D179" s="34">
        <f t="shared" si="31"/>
        <v>23</v>
      </c>
      <c r="E179" s="34">
        <v>0</v>
      </c>
    </row>
    <row r="180" spans="1:5" x14ac:dyDescent="0.25">
      <c r="A180" s="34" t="s">
        <v>158</v>
      </c>
      <c r="B180" s="61">
        <f t="shared" si="34"/>
        <v>41467</v>
      </c>
      <c r="C180" s="62">
        <f t="shared" si="35"/>
        <v>54785</v>
      </c>
      <c r="D180" s="34">
        <f t="shared" si="31"/>
        <v>25</v>
      </c>
      <c r="E180" s="34">
        <v>0</v>
      </c>
    </row>
    <row r="181" spans="1:5" x14ac:dyDescent="0.25">
      <c r="A181" s="34" t="s">
        <v>159</v>
      </c>
      <c r="B181" s="61">
        <f t="shared" si="34"/>
        <v>41456</v>
      </c>
      <c r="C181" s="62">
        <f t="shared" si="35"/>
        <v>18000</v>
      </c>
      <c r="D181" s="34">
        <f t="shared" si="31"/>
        <v>26</v>
      </c>
      <c r="E181" s="34">
        <v>0</v>
      </c>
    </row>
    <row r="182" spans="1:5" x14ac:dyDescent="0.25">
      <c r="A182" s="34" t="s">
        <v>163</v>
      </c>
      <c r="B182" s="61">
        <f t="shared" si="34"/>
        <v>40330</v>
      </c>
      <c r="C182" s="62">
        <f t="shared" si="35"/>
        <v>5500</v>
      </c>
      <c r="D182" s="34">
        <f t="shared" si="31"/>
        <v>28</v>
      </c>
      <c r="E182" s="34">
        <v>0</v>
      </c>
    </row>
    <row r="184" spans="1:5" x14ac:dyDescent="0.25">
      <c r="A184" s="53" t="s">
        <v>220</v>
      </c>
    </row>
    <row r="185" spans="1:5" x14ac:dyDescent="0.25">
      <c r="A185" s="34" t="s">
        <v>176</v>
      </c>
      <c r="B185" s="34" t="s">
        <v>183</v>
      </c>
      <c r="C185" s="34" t="s">
        <v>177</v>
      </c>
      <c r="D185" s="34" t="s">
        <v>184</v>
      </c>
      <c r="E185" s="34" t="s">
        <v>193</v>
      </c>
    </row>
    <row r="186" spans="1:5" x14ac:dyDescent="0.25">
      <c r="A186" s="34" t="s">
        <v>43</v>
      </c>
      <c r="B186" s="60">
        <f>B137</f>
        <v>25700</v>
      </c>
      <c r="C186" s="47">
        <f>C137</f>
        <v>2136620</v>
      </c>
      <c r="D186" s="34">
        <f>_xlfn.RANK.EQ(B186,$B$186:$B$205,0)</f>
        <v>17</v>
      </c>
      <c r="E186" s="63">
        <f>E137</f>
        <v>1.2902106172337053</v>
      </c>
    </row>
    <row r="187" spans="1:5" x14ac:dyDescent="0.25">
      <c r="A187" s="34" t="s">
        <v>45</v>
      </c>
      <c r="B187" s="60">
        <f t="shared" ref="B187:C205" si="36">B138</f>
        <v>26197</v>
      </c>
      <c r="C187" s="47">
        <f t="shared" si="36"/>
        <v>7530158</v>
      </c>
      <c r="D187" s="34">
        <f t="shared" ref="D187:D205" si="37">_xlfn.RANK.EQ(B187,$B$186:$B$205,0)</f>
        <v>16</v>
      </c>
      <c r="E187" s="63">
        <f t="shared" ref="E187:E205" si="38">E138</f>
        <v>1.0572433030589903</v>
      </c>
    </row>
    <row r="188" spans="1:5" x14ac:dyDescent="0.25">
      <c r="A188" s="34" t="s">
        <v>46</v>
      </c>
      <c r="B188" s="60">
        <f t="shared" si="36"/>
        <v>27886</v>
      </c>
      <c r="C188" s="47">
        <f t="shared" si="36"/>
        <v>10727877</v>
      </c>
      <c r="D188" s="34">
        <f t="shared" si="37"/>
        <v>15</v>
      </c>
      <c r="E188" s="63">
        <f t="shared" si="38"/>
        <v>1.1866454190470543</v>
      </c>
    </row>
    <row r="189" spans="1:5" x14ac:dyDescent="0.25">
      <c r="A189" s="34" t="s">
        <v>47</v>
      </c>
      <c r="B189" s="60">
        <f t="shared" si="36"/>
        <v>27893</v>
      </c>
      <c r="C189" s="47">
        <f t="shared" si="36"/>
        <v>1069</v>
      </c>
      <c r="D189" s="34">
        <f t="shared" si="37"/>
        <v>14</v>
      </c>
      <c r="E189" s="63">
        <f t="shared" si="38"/>
        <v>1.0196666361552853</v>
      </c>
    </row>
    <row r="190" spans="1:5" x14ac:dyDescent="0.25">
      <c r="A190" s="34" t="s">
        <v>48</v>
      </c>
      <c r="B190" s="60">
        <f t="shared" si="36"/>
        <v>28033</v>
      </c>
      <c r="C190" s="47">
        <f t="shared" si="36"/>
        <v>3010</v>
      </c>
      <c r="D190" s="34">
        <f t="shared" si="37"/>
        <v>13</v>
      </c>
      <c r="E190" s="63">
        <f t="shared" si="38"/>
        <v>0.95556782501661108</v>
      </c>
    </row>
    <row r="191" spans="1:5" x14ac:dyDescent="0.25">
      <c r="A191" s="34" t="s">
        <v>49</v>
      </c>
      <c r="B191" s="60">
        <f t="shared" si="36"/>
        <v>29127</v>
      </c>
      <c r="C191" s="47">
        <f t="shared" si="36"/>
        <v>15170449</v>
      </c>
      <c r="D191" s="34">
        <f t="shared" si="37"/>
        <v>12</v>
      </c>
      <c r="E191" s="63">
        <f t="shared" si="38"/>
        <v>1.1656175541471105</v>
      </c>
    </row>
    <row r="192" spans="1:5" x14ac:dyDescent="0.25">
      <c r="A192" s="34" t="s">
        <v>50</v>
      </c>
      <c r="B192" s="60">
        <f t="shared" si="36"/>
        <v>29451</v>
      </c>
      <c r="C192" s="47">
        <f t="shared" si="36"/>
        <v>9555266</v>
      </c>
      <c r="D192" s="34">
        <f t="shared" si="37"/>
        <v>11</v>
      </c>
      <c r="E192" s="63">
        <f t="shared" si="38"/>
        <v>1.05341630459893</v>
      </c>
    </row>
    <row r="193" spans="1:5" x14ac:dyDescent="0.25">
      <c r="A193" s="34" t="s">
        <v>51</v>
      </c>
      <c r="B193" s="60">
        <f t="shared" si="36"/>
        <v>31199</v>
      </c>
      <c r="C193" s="47">
        <f t="shared" si="36"/>
        <v>7564337</v>
      </c>
      <c r="D193" s="34">
        <f t="shared" si="37"/>
        <v>9</v>
      </c>
      <c r="E193" s="63">
        <f t="shared" si="38"/>
        <v>1.151428752196384</v>
      </c>
    </row>
    <row r="194" spans="1:5" x14ac:dyDescent="0.25">
      <c r="A194" s="34" t="s">
        <v>52</v>
      </c>
      <c r="B194" s="60">
        <f t="shared" si="36"/>
        <v>31403</v>
      </c>
      <c r="C194" s="47">
        <f t="shared" si="36"/>
        <v>21367191</v>
      </c>
      <c r="D194" s="34">
        <f t="shared" si="37"/>
        <v>8</v>
      </c>
      <c r="E194" s="63">
        <f t="shared" si="38"/>
        <v>1.3578791245595492</v>
      </c>
    </row>
    <row r="195" spans="1:5" x14ac:dyDescent="0.25">
      <c r="A195" s="34" t="s">
        <v>53</v>
      </c>
      <c r="B195" s="60">
        <f t="shared" si="36"/>
        <v>32115</v>
      </c>
      <c r="C195" s="47">
        <f t="shared" si="36"/>
        <v>23257630</v>
      </c>
      <c r="D195" s="34">
        <f t="shared" si="37"/>
        <v>7</v>
      </c>
      <c r="E195" s="63">
        <f t="shared" si="38"/>
        <v>1.050805226614562</v>
      </c>
    </row>
    <row r="196" spans="1:5" x14ac:dyDescent="0.25">
      <c r="A196" s="34" t="s">
        <v>54</v>
      </c>
      <c r="B196" s="60">
        <f t="shared" si="36"/>
        <v>32417</v>
      </c>
      <c r="C196" s="47">
        <f t="shared" si="36"/>
        <v>15750630</v>
      </c>
      <c r="D196" s="34">
        <f t="shared" si="37"/>
        <v>6</v>
      </c>
      <c r="E196" s="63">
        <f t="shared" si="38"/>
        <v>1.1061936543380955</v>
      </c>
    </row>
    <row r="197" spans="1:5" x14ac:dyDescent="0.25">
      <c r="A197" s="34" t="s">
        <v>55</v>
      </c>
      <c r="B197" s="60">
        <f t="shared" si="36"/>
        <v>35156</v>
      </c>
      <c r="C197" s="47">
        <f t="shared" si="36"/>
        <v>15540628</v>
      </c>
      <c r="D197" s="34">
        <f t="shared" si="37"/>
        <v>5</v>
      </c>
      <c r="E197" s="63">
        <f t="shared" si="38"/>
        <v>1.17306473361716</v>
      </c>
    </row>
    <row r="198" spans="1:5" x14ac:dyDescent="0.25">
      <c r="A198" s="34" t="s">
        <v>56</v>
      </c>
      <c r="B198" s="60">
        <f t="shared" si="36"/>
        <v>24685</v>
      </c>
      <c r="C198" s="47">
        <f t="shared" si="36"/>
        <v>7378745</v>
      </c>
      <c r="D198" s="34">
        <f t="shared" si="37"/>
        <v>19</v>
      </c>
      <c r="E198" s="63">
        <f t="shared" si="38"/>
        <v>1.037730875818953</v>
      </c>
    </row>
    <row r="199" spans="1:5" x14ac:dyDescent="0.25">
      <c r="A199" s="34" t="s">
        <v>57</v>
      </c>
      <c r="B199" s="60">
        <f t="shared" si="36"/>
        <v>39142</v>
      </c>
      <c r="C199" s="47">
        <f t="shared" si="36"/>
        <v>1332491</v>
      </c>
      <c r="D199" s="34">
        <f t="shared" si="37"/>
        <v>4</v>
      </c>
      <c r="E199" s="63">
        <f t="shared" si="38"/>
        <v>0.82640342984294057</v>
      </c>
    </row>
    <row r="200" spans="1:5" x14ac:dyDescent="0.25">
      <c r="A200" s="34" t="s">
        <v>58</v>
      </c>
      <c r="B200" s="60">
        <f t="shared" si="36"/>
        <v>39264</v>
      </c>
      <c r="C200" s="47">
        <f t="shared" si="36"/>
        <v>1681217</v>
      </c>
      <c r="D200" s="34">
        <f t="shared" si="37"/>
        <v>3</v>
      </c>
      <c r="E200" s="63">
        <f t="shared" si="38"/>
        <v>0.80662909836835439</v>
      </c>
    </row>
    <row r="201" spans="1:5" x14ac:dyDescent="0.25">
      <c r="A201" s="34" t="s">
        <v>59</v>
      </c>
      <c r="B201" s="60">
        <f t="shared" si="36"/>
        <v>25355</v>
      </c>
      <c r="C201" s="47">
        <f t="shared" si="36"/>
        <v>2416293</v>
      </c>
      <c r="D201" s="34">
        <f t="shared" si="37"/>
        <v>18</v>
      </c>
      <c r="E201" s="63">
        <f t="shared" si="38"/>
        <v>1.1654148521395211</v>
      </c>
    </row>
    <row r="202" spans="1:5" x14ac:dyDescent="0.25">
      <c r="A202" s="34" t="s">
        <v>60</v>
      </c>
      <c r="B202" s="60">
        <f t="shared" si="36"/>
        <v>22591</v>
      </c>
      <c r="C202" s="47">
        <f t="shared" si="36"/>
        <v>369330</v>
      </c>
      <c r="D202" s="34">
        <f t="shared" si="37"/>
        <v>20</v>
      </c>
      <c r="E202" s="63">
        <f t="shared" si="38"/>
        <v>0.99388439668188333</v>
      </c>
    </row>
    <row r="203" spans="1:5" x14ac:dyDescent="0.25">
      <c r="A203" s="34" t="s">
        <v>61</v>
      </c>
      <c r="B203" s="60">
        <f t="shared" si="36"/>
        <v>42238</v>
      </c>
      <c r="C203" s="47">
        <f t="shared" si="36"/>
        <v>23246212</v>
      </c>
      <c r="D203" s="34">
        <f t="shared" si="37"/>
        <v>2</v>
      </c>
      <c r="E203" s="63">
        <f t="shared" si="38"/>
        <v>0.89196592982224709</v>
      </c>
    </row>
    <row r="204" spans="1:5" x14ac:dyDescent="0.25">
      <c r="A204" s="34" t="s">
        <v>62</v>
      </c>
      <c r="B204" s="60">
        <f t="shared" si="36"/>
        <v>42977</v>
      </c>
      <c r="C204" s="47">
        <f t="shared" si="36"/>
        <v>9119476</v>
      </c>
      <c r="D204" s="34">
        <f t="shared" si="37"/>
        <v>1</v>
      </c>
      <c r="E204" s="63">
        <f t="shared" si="38"/>
        <v>1.0239906159995815</v>
      </c>
    </row>
    <row r="205" spans="1:5" x14ac:dyDescent="0.25">
      <c r="A205" s="34" t="s">
        <v>92</v>
      </c>
      <c r="B205" s="60">
        <f t="shared" si="36"/>
        <v>30893</v>
      </c>
      <c r="C205" s="47">
        <f t="shared" si="36"/>
        <v>9803000</v>
      </c>
      <c r="D205" s="34">
        <f t="shared" si="37"/>
        <v>10</v>
      </c>
      <c r="E205" s="63">
        <f t="shared" si="38"/>
        <v>0</v>
      </c>
    </row>
    <row r="206" spans="1:5" x14ac:dyDescent="0.25">
      <c r="B206" s="60"/>
      <c r="C206" s="47"/>
      <c r="E206" s="63"/>
    </row>
    <row r="207" spans="1:5" x14ac:dyDescent="0.25">
      <c r="A207" s="53" t="s">
        <v>222</v>
      </c>
      <c r="B207" s="60"/>
      <c r="C207" s="47"/>
      <c r="E207" s="63"/>
    </row>
    <row r="208" spans="1:5" x14ac:dyDescent="0.25">
      <c r="B208" s="60"/>
      <c r="C208" s="47"/>
      <c r="E208" s="63"/>
    </row>
    <row r="209" spans="1:5" x14ac:dyDescent="0.25">
      <c r="A209" s="34" t="s">
        <v>176</v>
      </c>
      <c r="B209" s="34" t="s">
        <v>183</v>
      </c>
      <c r="C209" s="34" t="s">
        <v>177</v>
      </c>
      <c r="D209" s="34" t="s">
        <v>184</v>
      </c>
      <c r="E209" s="34" t="s">
        <v>193</v>
      </c>
    </row>
    <row r="210" spans="1:5" x14ac:dyDescent="0.25">
      <c r="A210" s="34" t="s">
        <v>106</v>
      </c>
      <c r="B210" s="61">
        <f>B157</f>
        <v>41425</v>
      </c>
      <c r="C210" s="62">
        <f t="shared" ref="C210:E210" si="39">C157</f>
        <v>1219826</v>
      </c>
      <c r="D210" s="34">
        <f>_xlfn.RANK.EQ(B210,$B$210:$B$235,0)</f>
        <v>25</v>
      </c>
      <c r="E210" s="34">
        <f t="shared" si="39"/>
        <v>0</v>
      </c>
    </row>
    <row r="211" spans="1:5" x14ac:dyDescent="0.25">
      <c r="A211" s="34" t="s">
        <v>110</v>
      </c>
      <c r="B211" s="61">
        <f t="shared" ref="B211:E211" si="40">B158</f>
        <v>41730</v>
      </c>
      <c r="C211" s="62">
        <f t="shared" si="40"/>
        <v>318056</v>
      </c>
      <c r="D211" s="34">
        <f t="shared" ref="D211:D235" si="41">_xlfn.RANK.EQ(B211,$B$210:$B$235,0)</f>
        <v>15</v>
      </c>
      <c r="E211" s="34">
        <f t="shared" si="40"/>
        <v>0</v>
      </c>
    </row>
    <row r="212" spans="1:5" x14ac:dyDescent="0.25">
      <c r="A212" s="34" t="s">
        <v>111</v>
      </c>
      <c r="B212" s="61">
        <f t="shared" ref="B212:E212" si="42">B159</f>
        <v>44317</v>
      </c>
      <c r="C212" s="62">
        <f t="shared" si="42"/>
        <v>509303</v>
      </c>
      <c r="D212" s="34">
        <f t="shared" si="41"/>
        <v>1</v>
      </c>
      <c r="E212" s="34">
        <f t="shared" si="42"/>
        <v>0</v>
      </c>
    </row>
    <row r="213" spans="1:5" x14ac:dyDescent="0.25">
      <c r="A213" s="34" t="s">
        <v>113</v>
      </c>
      <c r="B213" s="61">
        <f t="shared" ref="B213:E213" si="43">B160</f>
        <v>44181</v>
      </c>
      <c r="C213" s="62">
        <f t="shared" si="43"/>
        <v>22500</v>
      </c>
      <c r="D213" s="34">
        <f t="shared" si="41"/>
        <v>2</v>
      </c>
      <c r="E213" s="34">
        <f t="shared" si="43"/>
        <v>0</v>
      </c>
    </row>
    <row r="214" spans="1:5" x14ac:dyDescent="0.25">
      <c r="A214" s="34" t="s">
        <v>116</v>
      </c>
      <c r="B214" s="61">
        <f t="shared" ref="B214:E214" si="44">B161</f>
        <v>43497</v>
      </c>
      <c r="C214" s="62">
        <f t="shared" si="44"/>
        <v>381930</v>
      </c>
      <c r="D214" s="34">
        <f t="shared" si="41"/>
        <v>3</v>
      </c>
      <c r="E214" s="34">
        <f t="shared" si="44"/>
        <v>0</v>
      </c>
    </row>
    <row r="215" spans="1:5" x14ac:dyDescent="0.25">
      <c r="A215" s="34" t="s">
        <v>119</v>
      </c>
      <c r="B215" s="61">
        <f t="shared" ref="B215:E215" si="45">B162</f>
        <v>43039</v>
      </c>
      <c r="C215" s="62">
        <f t="shared" si="45"/>
        <v>290500</v>
      </c>
      <c r="D215" s="34">
        <f t="shared" si="41"/>
        <v>4</v>
      </c>
      <c r="E215" s="34">
        <f t="shared" si="45"/>
        <v>0</v>
      </c>
    </row>
    <row r="216" spans="1:5" x14ac:dyDescent="0.25">
      <c r="A216" s="34" t="s">
        <v>122</v>
      </c>
      <c r="B216" s="61">
        <f t="shared" ref="B216:E216" si="46">B163</f>
        <v>43039</v>
      </c>
      <c r="C216" s="62">
        <f t="shared" si="46"/>
        <v>439600</v>
      </c>
      <c r="D216" s="34">
        <f t="shared" si="41"/>
        <v>4</v>
      </c>
      <c r="E216" s="34">
        <f t="shared" si="46"/>
        <v>0</v>
      </c>
    </row>
    <row r="217" spans="1:5" x14ac:dyDescent="0.25">
      <c r="A217" s="34" t="s">
        <v>124</v>
      </c>
      <c r="B217" s="61">
        <f t="shared" ref="B217:E217" si="47">B164</f>
        <v>42536</v>
      </c>
      <c r="C217" s="62">
        <f t="shared" si="47"/>
        <v>450559</v>
      </c>
      <c r="D217" s="34">
        <f t="shared" si="41"/>
        <v>6</v>
      </c>
      <c r="E217" s="34">
        <f t="shared" si="47"/>
        <v>0</v>
      </c>
    </row>
    <row r="218" spans="1:5" x14ac:dyDescent="0.25">
      <c r="A218" s="34" t="s">
        <v>126</v>
      </c>
      <c r="B218" s="61">
        <f t="shared" ref="B218:E218" si="48">B165</f>
        <v>42370</v>
      </c>
      <c r="C218" s="62">
        <f t="shared" si="48"/>
        <v>94870.8</v>
      </c>
      <c r="D218" s="34">
        <f t="shared" si="41"/>
        <v>7</v>
      </c>
      <c r="E218" s="34">
        <f t="shared" si="48"/>
        <v>0</v>
      </c>
    </row>
    <row r="219" spans="1:5" x14ac:dyDescent="0.25">
      <c r="A219" s="34" t="s">
        <v>129</v>
      </c>
      <c r="B219" s="61">
        <f t="shared" ref="B219:E219" si="49">B166</f>
        <v>42095</v>
      </c>
      <c r="C219" s="62">
        <f t="shared" si="49"/>
        <v>293400</v>
      </c>
      <c r="D219" s="34">
        <f t="shared" si="41"/>
        <v>8</v>
      </c>
      <c r="E219" s="34">
        <f t="shared" si="49"/>
        <v>0</v>
      </c>
    </row>
    <row r="220" spans="1:5" x14ac:dyDescent="0.25">
      <c r="A220" s="34" t="s">
        <v>131</v>
      </c>
      <c r="B220" s="61">
        <f t="shared" ref="B220:E220" si="50">B167</f>
        <v>42064</v>
      </c>
      <c r="C220" s="62">
        <f t="shared" si="50"/>
        <v>140180</v>
      </c>
      <c r="D220" s="34">
        <f t="shared" si="41"/>
        <v>9</v>
      </c>
      <c r="E220" s="34">
        <f t="shared" si="50"/>
        <v>0</v>
      </c>
    </row>
    <row r="221" spans="1:5" x14ac:dyDescent="0.25">
      <c r="A221" s="34" t="s">
        <v>134</v>
      </c>
      <c r="B221" s="61">
        <f t="shared" ref="B221:E221" si="51">B168</f>
        <v>42013</v>
      </c>
      <c r="C221" s="62">
        <f t="shared" si="51"/>
        <v>20500</v>
      </c>
      <c r="D221" s="34">
        <f t="shared" si="41"/>
        <v>10</v>
      </c>
      <c r="E221" s="34">
        <f t="shared" si="51"/>
        <v>0</v>
      </c>
    </row>
    <row r="222" spans="1:5" x14ac:dyDescent="0.25">
      <c r="A222" s="34" t="s">
        <v>136</v>
      </c>
      <c r="B222" s="61">
        <f t="shared" ref="B222:E222" si="52">B169</f>
        <v>42005</v>
      </c>
      <c r="C222" s="62">
        <f t="shared" si="52"/>
        <v>66395</v>
      </c>
      <c r="D222" s="34">
        <f t="shared" si="41"/>
        <v>11</v>
      </c>
      <c r="E222" s="34">
        <f t="shared" si="52"/>
        <v>0</v>
      </c>
    </row>
    <row r="223" spans="1:5" x14ac:dyDescent="0.25">
      <c r="A223" s="34" t="s">
        <v>138</v>
      </c>
      <c r="B223" s="61">
        <f t="shared" ref="B223:E223" si="53">B170</f>
        <v>41962</v>
      </c>
      <c r="C223" s="62">
        <f t="shared" si="53"/>
        <v>372500</v>
      </c>
      <c r="D223" s="34">
        <f t="shared" si="41"/>
        <v>12</v>
      </c>
      <c r="E223" s="34">
        <f t="shared" si="53"/>
        <v>0</v>
      </c>
    </row>
    <row r="224" spans="1:5" x14ac:dyDescent="0.25">
      <c r="A224" s="34" t="s">
        <v>141</v>
      </c>
      <c r="B224" s="61">
        <f t="shared" ref="B224:E224" si="54">B171</f>
        <v>41944</v>
      </c>
      <c r="C224" s="62">
        <f t="shared" si="54"/>
        <v>260074</v>
      </c>
      <c r="D224" s="34">
        <f t="shared" si="41"/>
        <v>13</v>
      </c>
      <c r="E224" s="34">
        <f t="shared" si="54"/>
        <v>0</v>
      </c>
    </row>
    <row r="225" spans="1:5" x14ac:dyDescent="0.25">
      <c r="A225" s="34" t="s">
        <v>143</v>
      </c>
      <c r="B225" s="61">
        <f t="shared" ref="B225:E225" si="55">B172</f>
        <v>41735</v>
      </c>
      <c r="C225" s="62">
        <f t="shared" si="55"/>
        <v>290500</v>
      </c>
      <c r="D225" s="34">
        <f t="shared" si="41"/>
        <v>14</v>
      </c>
      <c r="E225" s="34">
        <f t="shared" si="55"/>
        <v>0</v>
      </c>
    </row>
    <row r="226" spans="1:5" x14ac:dyDescent="0.25">
      <c r="A226" s="34" t="s">
        <v>145</v>
      </c>
      <c r="B226" s="61">
        <f t="shared" ref="B226:E226" si="56">B173</f>
        <v>41640</v>
      </c>
      <c r="C226" s="62">
        <f t="shared" si="56"/>
        <v>94527</v>
      </c>
      <c r="D226" s="34">
        <f t="shared" si="41"/>
        <v>16</v>
      </c>
      <c r="E226" s="34">
        <f t="shared" si="56"/>
        <v>0</v>
      </c>
    </row>
    <row r="227" spans="1:5" x14ac:dyDescent="0.25">
      <c r="A227" s="34" t="s">
        <v>147</v>
      </c>
      <c r="B227" s="61">
        <f t="shared" ref="B227:E227" si="57">B174</f>
        <v>41640</v>
      </c>
      <c r="C227" s="62">
        <f t="shared" si="57"/>
        <v>878438</v>
      </c>
      <c r="D227" s="34">
        <f t="shared" si="41"/>
        <v>16</v>
      </c>
      <c r="E227" s="34">
        <f t="shared" si="57"/>
        <v>0</v>
      </c>
    </row>
    <row r="228" spans="1:5" x14ac:dyDescent="0.25">
      <c r="A228" s="34" t="s">
        <v>149</v>
      </c>
      <c r="B228" s="61">
        <f t="shared" ref="B228:E228" si="58">B175</f>
        <v>41640</v>
      </c>
      <c r="C228" s="62">
        <f t="shared" si="58"/>
        <v>74267</v>
      </c>
      <c r="D228" s="34">
        <f t="shared" si="41"/>
        <v>16</v>
      </c>
      <c r="E228" s="34">
        <f t="shared" si="58"/>
        <v>0</v>
      </c>
    </row>
    <row r="229" spans="1:5" x14ac:dyDescent="0.25">
      <c r="A229" s="34" t="s">
        <v>151</v>
      </c>
      <c r="B229" s="61">
        <f t="shared" ref="B229:E229" si="59">B176</f>
        <v>41640</v>
      </c>
      <c r="C229" s="62">
        <f t="shared" si="59"/>
        <v>93093</v>
      </c>
      <c r="D229" s="34">
        <f t="shared" si="41"/>
        <v>16</v>
      </c>
      <c r="E229" s="34">
        <f t="shared" si="59"/>
        <v>0</v>
      </c>
    </row>
    <row r="230" spans="1:5" x14ac:dyDescent="0.25">
      <c r="A230" s="34" t="s">
        <v>153</v>
      </c>
      <c r="B230" s="61">
        <f t="shared" ref="B230:E230" si="60">B177</f>
        <v>41579</v>
      </c>
      <c r="C230" s="62">
        <f t="shared" si="60"/>
        <v>39483</v>
      </c>
      <c r="D230" s="34">
        <f t="shared" si="41"/>
        <v>20</v>
      </c>
      <c r="E230" s="34">
        <f t="shared" si="60"/>
        <v>0</v>
      </c>
    </row>
    <row r="231" spans="1:5" x14ac:dyDescent="0.25">
      <c r="A231" s="34" t="s">
        <v>155</v>
      </c>
      <c r="B231" s="61">
        <f t="shared" ref="B231:E231" si="61">B178</f>
        <v>41548</v>
      </c>
      <c r="C231" s="62">
        <f t="shared" si="61"/>
        <v>224000</v>
      </c>
      <c r="D231" s="34">
        <f t="shared" si="41"/>
        <v>21</v>
      </c>
      <c r="E231" s="34">
        <f t="shared" si="61"/>
        <v>0</v>
      </c>
    </row>
    <row r="232" spans="1:5" x14ac:dyDescent="0.25">
      <c r="A232" s="34" t="s">
        <v>156</v>
      </c>
      <c r="B232" s="61">
        <f t="shared" ref="B232:E232" si="62">B179</f>
        <v>41548</v>
      </c>
      <c r="C232" s="62">
        <f t="shared" si="62"/>
        <v>188500</v>
      </c>
      <c r="D232" s="34">
        <f t="shared" si="41"/>
        <v>21</v>
      </c>
      <c r="E232" s="34">
        <f t="shared" si="62"/>
        <v>0</v>
      </c>
    </row>
    <row r="233" spans="1:5" x14ac:dyDescent="0.25">
      <c r="A233" s="34" t="s">
        <v>158</v>
      </c>
      <c r="B233" s="61">
        <f t="shared" ref="B233:E233" si="63">B180</f>
        <v>41467</v>
      </c>
      <c r="C233" s="62">
        <f t="shared" si="63"/>
        <v>54785</v>
      </c>
      <c r="D233" s="34">
        <f t="shared" si="41"/>
        <v>23</v>
      </c>
      <c r="E233" s="34">
        <f t="shared" si="63"/>
        <v>0</v>
      </c>
    </row>
    <row r="234" spans="1:5" x14ac:dyDescent="0.25">
      <c r="A234" s="34" t="s">
        <v>159</v>
      </c>
      <c r="B234" s="61">
        <f t="shared" ref="B234:E234" si="64">B181</f>
        <v>41456</v>
      </c>
      <c r="C234" s="62">
        <f t="shared" si="64"/>
        <v>18000</v>
      </c>
      <c r="D234" s="34">
        <f t="shared" si="41"/>
        <v>24</v>
      </c>
      <c r="E234" s="34">
        <f t="shared" si="64"/>
        <v>0</v>
      </c>
    </row>
    <row r="235" spans="1:5" x14ac:dyDescent="0.25">
      <c r="A235" s="34" t="s">
        <v>163</v>
      </c>
      <c r="B235" s="61">
        <f t="shared" ref="B235:E235" si="65">B182</f>
        <v>40330</v>
      </c>
      <c r="C235" s="62">
        <f t="shared" si="65"/>
        <v>5500</v>
      </c>
      <c r="D235" s="34">
        <f t="shared" si="41"/>
        <v>26</v>
      </c>
      <c r="E235" s="34">
        <f t="shared" si="65"/>
        <v>0</v>
      </c>
    </row>
  </sheetData>
  <hyperlinks>
    <hyperlink ref="F100" r:id="rId1" xr:uid="{D9D21DDE-3E7D-4181-8FC7-4255B854DDC4}"/>
    <hyperlink ref="F101" r:id="rId2" xr:uid="{DC0C1D29-6862-4466-AC75-0DA2DC052697}"/>
    <hyperlink ref="F102" r:id="rId3" xr:uid="{95393207-EA55-43A6-876B-91739AA285D4}"/>
    <hyperlink ref="F97" r:id="rId4" xr:uid="{84A75DE0-CE05-445F-B401-4FB3BA61E141}"/>
    <hyperlink ref="G99" r:id="rId5" xr:uid="{8A8675C2-2BF0-4773-9B14-A366483C4AEE}"/>
    <hyperlink ref="F112" r:id="rId6" xr:uid="{FEDA1342-0E37-4D2F-8746-EDF3CC014912}"/>
    <hyperlink ref="F111" r:id="rId7" xr:uid="{FF83C7CA-937A-46B2-81AE-8EE4626C3618}"/>
    <hyperlink ref="F104" r:id="rId8" xr:uid="{1D8C7384-8E06-40A2-BC5B-5EF8065B9144}"/>
    <hyperlink ref="G103" r:id="rId9" xr:uid="{2B9CBB40-69AD-4254-AA48-04CAEC217877}"/>
    <hyperlink ref="F108" r:id="rId10" xr:uid="{0CD5121E-C52C-4887-9F27-0794C13DD839}"/>
    <hyperlink ref="F110" r:id="rId11" xr:uid="{F4C8858F-1862-4196-BAE4-92D5A1510AB2}"/>
    <hyperlink ref="F117" r:id="rId12" xr:uid="{F2A8229C-F9B2-467F-8D62-8BC32E9C258C}"/>
    <hyperlink ref="G105" r:id="rId13" xr:uid="{14777D29-9C6A-4214-8A87-C55B3D8B7F11}"/>
    <hyperlink ref="F98" r:id="rId14" xr:uid="{421EED9A-1F7C-461C-B56D-2DC16670B2A3}"/>
    <hyperlink ref="F109" r:id="rId15" xr:uid="{34EAA029-D3B4-495A-BD6B-6745DA837150}"/>
    <hyperlink ref="F115" r:id="rId16" xr:uid="{B964182D-A388-43CC-88F0-4D7597C1B39F}"/>
    <hyperlink ref="F113" r:id="rId17" xr:uid="{F0E3435B-3DAE-45C3-89DB-7212CF6C490F}"/>
    <hyperlink ref="F120" r:id="rId18" xr:uid="{1BD55FC2-B162-42CE-9573-CF5E74CE088A}"/>
    <hyperlink ref="G108" r:id="rId19" xr:uid="{9A2FF92A-D07E-4C75-BA44-B6C02B27832D}"/>
    <hyperlink ref="F105" r:id="rId20" xr:uid="{6D5404B8-B4B9-4930-87B0-37B241D26AEF}"/>
    <hyperlink ref="F107" r:id="rId21" xr:uid="{968FC369-F53E-4B15-B4C0-BF9AB4503F06}"/>
    <hyperlink ref="F119" r:id="rId22" xr:uid="{7612F459-EA2A-4FF5-B6D2-63CA43B185B3}"/>
    <hyperlink ref="F99" r:id="rId23" xr:uid="{4C9FB463-4F61-4BAC-B6E1-29B0070AE76C}"/>
    <hyperlink ref="F106" r:id="rId24" xr:uid="{08E9413F-AD23-475B-A086-05D379E30F80}"/>
    <hyperlink ref="F114" r:id="rId25" xr:uid="{38B0E502-9383-4E1E-ADAC-17120951EE3F}"/>
    <hyperlink ref="F95" r:id="rId26" xr:uid="{36CCE540-3F01-4AB6-88BB-47D0CEA3E29D}"/>
    <hyperlink ref="F103" r:id="rId27" xr:uid="{E6C6FAD5-FCDC-4EC7-B442-65C68DEEC1DD}"/>
  </hyperlinks>
  <pageMargins left="0.7" right="0.7" top="0.75" bottom="0.75" header="0.3" footer="0.3"/>
  <drawing r:id="rId28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b4559c4-8463-4985-927f-f0d558bff8f0" xsi:nil="true"/>
    <lcf76f155ced4ddcb4097134ff3c332f xmlns="819ae873-75e1-413b-9d00-7af9258cf281">
      <Terms xmlns="http://schemas.microsoft.com/office/infopath/2007/PartnerControls"/>
    </lcf76f155ced4ddcb4097134ff3c332f>
    <Formatter_x0028_s_x0029_ xmlns="819ae873-75e1-413b-9d00-7af9258cf281">
      <UserInfo>
        <DisplayName/>
        <AccountId xsi:nil="true"/>
        <AccountType/>
      </UserInfo>
    </Formatter_x0028_s_x0029_>
    <Ready xmlns="819ae873-75e1-413b-9d00-7af9258cf281">true</Ready>
    <Doc_x002e_SymbolNumber xmlns="819ae873-75e1-413b-9d00-7af9258cf281" xsi:nil="true"/>
    <_Flow_SignoffStatus xmlns="819ae873-75e1-413b-9d00-7af9258cf281" xsi:nil="true"/>
    <Status xmlns="819ae873-75e1-413b-9d00-7af9258cf281">true</Status>
    <Teamleademail xmlns="819ae873-75e1-413b-9d00-7af9258cf281">
      <UserInfo>
        <DisplayName/>
        <AccountId xsi:nil="true"/>
        <AccountType/>
      </UserInfo>
    </Teamleademail>
    <Drafter_x0028_s_x0029_ xmlns="819ae873-75e1-413b-9d00-7af9258cf281">
      <UserInfo>
        <DisplayName/>
        <AccountId xsi:nil="true"/>
        <AccountType/>
      </UserInfo>
    </Drafter_x0028_s_x0029_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FB6730B0802B54A9F00C78B857E1443" ma:contentTypeVersion="28" ma:contentTypeDescription="Create a new document." ma:contentTypeScope="" ma:versionID="9d684dda10f4f2dbf746fae76444930a">
  <xsd:schema xmlns:xsd="http://www.w3.org/2001/XMLSchema" xmlns:xs="http://www.w3.org/2001/XMLSchema" xmlns:p="http://schemas.microsoft.com/office/2006/metadata/properties" xmlns:ns2="819ae873-75e1-413b-9d00-7af9258cf281" xmlns:ns3="eb4559c4-8463-4985-927f-f0d558bff8f0" xmlns:ns4="13d80b15-5f07-43ab-b435-85767a7dac08" targetNamespace="http://schemas.microsoft.com/office/2006/metadata/properties" ma:root="true" ma:fieldsID="2e1a7d6f560f2b9324fa8d4f4f1cd31a" ns2:_="" ns3:_="" ns4:_="">
    <xsd:import namespace="819ae873-75e1-413b-9d00-7af9258cf281"/>
    <xsd:import namespace="eb4559c4-8463-4985-927f-f0d558bff8f0"/>
    <xsd:import namespace="13d80b15-5f07-43ab-b435-85767a7dac0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Doc_x002e_SymbolNumber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4:SharedWithUsers" minOccurs="0"/>
                <xsd:element ref="ns4:SharedWithDetails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Ready" minOccurs="0"/>
                <xsd:element ref="ns2:_Flow_SignoffStatus" minOccurs="0"/>
                <xsd:element ref="ns2:Teamleademail" minOccurs="0"/>
                <xsd:element ref="ns2:Drafter_x0028_s_x0029_" minOccurs="0"/>
                <xsd:element ref="ns2:Formatter_x0028_s_x0029_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9ae873-75e1-413b-9d00-7af9258cf28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Doc_x002e_SymbolNumber" ma:index="12" nillable="true" ma:displayName="Doc. Symbol Number" ma:format="Dropdown" ma:internalName="Doc_x002e_SymbolNumber">
      <xsd:simpleType>
        <xsd:restriction base="dms:Note">
          <xsd:maxLength value="255"/>
        </xsd:restriction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9d8c265a-5436-43a7-80c1-713d2827ffd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Ready" ma:index="26" nillable="true" ma:displayName="Ready" ma:default="1" ma:format="Dropdown" ma:internalName="Ready">
      <xsd:simpleType>
        <xsd:restriction base="dms:Boolean"/>
      </xsd:simpleType>
    </xsd:element>
    <xsd:element name="_Flow_SignoffStatus" ma:index="27" nillable="true" ma:displayName="Sign-off status" ma:format="Dropdown" ma:internalName="_x0024_Resources_x003a_core_x002c_Signoff_Status">
      <xsd:simpleType>
        <xsd:restriction base="dms:Choice">
          <xsd:enumeration value="WIP"/>
          <xsd:enumeration value="Ready for clearance"/>
          <xsd:enumeration value="Cleared"/>
          <xsd:enumeration value="Returned"/>
        </xsd:restriction>
      </xsd:simpleType>
    </xsd:element>
    <xsd:element name="Teamleademail" ma:index="28" nillable="true" ma:displayName="Team lead(s)" ma:format="Dropdown" ma:list="UserInfo" ma:SharePointGroup="0" ma:internalName="Teamleademail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after_x0028_s_x0029_" ma:index="29" nillable="true" ma:displayName="Drafter(s)" ma:format="Dropdown" ma:list="UserInfo" ma:SharePointGroup="0" ma:internalName="Drafter_x0028_s_x0029_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Formatter_x0028_s_x0029_" ma:index="30" nillable="true" ma:displayName="Formatter(s)" ma:format="Dropdown" ma:list="UserInfo" ma:SharePointGroup="0" ma:internalName="Formatter_x0028_s_x0029_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tatus" ma:index="31" nillable="true" ma:displayName="Status" ma:default="1" ma:format="Dropdown" ma:internalName="Status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4559c4-8463-4985-927f-f0d558bff8f0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71990851-a39d-4e76-9339-d9f3f2815fa8}" ma:internalName="TaxCatchAll" ma:showField="CatchAllData" ma:web="13d80b15-5f07-43ab-b435-85767a7dac0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d80b15-5f07-43ab-b435-85767a7dac08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haredContentType xmlns="Microsoft.SharePoint.Taxonomy.ContentTypeSync" SourceId="9d8c265a-5436-43a7-80c1-713d2827ffde" ContentTypeId="0x0101" PreviousValue="false"/>
</file>

<file path=customXml/itemProps1.xml><?xml version="1.0" encoding="utf-8"?>
<ds:datastoreItem xmlns:ds="http://schemas.openxmlformats.org/officeDocument/2006/customXml" ds:itemID="{A45A7793-2F01-4B5E-8633-0D520522447C}">
  <ds:schemaRefs>
    <ds:schemaRef ds:uri="http://schemas.microsoft.com/office/2006/metadata/properties"/>
    <ds:schemaRef ds:uri="http://schemas.microsoft.com/office/infopath/2007/PartnerControls"/>
    <ds:schemaRef ds:uri="472a0326-8bb2-43fa-81ba-56fe4ba7c517"/>
    <ds:schemaRef ds:uri="bfb77a3d-11dd-4d4c-b3fb-d838eaf103f8"/>
  </ds:schemaRefs>
</ds:datastoreItem>
</file>

<file path=customXml/itemProps2.xml><?xml version="1.0" encoding="utf-8"?>
<ds:datastoreItem xmlns:ds="http://schemas.openxmlformats.org/officeDocument/2006/customXml" ds:itemID="{91546C66-4EAD-4943-BFBA-3BBBCA171D0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E963EB8-7627-42A0-AACA-A1B458B8DEE5}"/>
</file>

<file path=customXml/itemProps4.xml><?xml version="1.0" encoding="utf-8"?>
<ds:datastoreItem xmlns:ds="http://schemas.openxmlformats.org/officeDocument/2006/customXml" ds:itemID="{8B710CD6-8B70-4E09-B232-527E8A4E436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Emission Factors</vt:lpstr>
      <vt:lpstr>MarginalEmissionFactor2024</vt:lpstr>
      <vt:lpstr>PowerStationData2024</vt:lpstr>
      <vt:lpstr>MarginalEmissionFactor2023</vt:lpstr>
      <vt:lpstr>PowerStationData2023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  Van Der Merwe</dc:creator>
  <cp:lastModifiedBy>Olivia Tuchten</cp:lastModifiedBy>
  <dcterms:created xsi:type="dcterms:W3CDTF">2012-10-03T09:04:52Z</dcterms:created>
  <dcterms:modified xsi:type="dcterms:W3CDTF">2026-02-12T14:13:58Z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0x0101008FB6730B0802B54A9F00C78B857E1443</vt:lpwstr>
  </property>
  <property fmtid="{D5CDD505-2E9C-101B-9397-08002B2CF9AE}" pid="3" name="MediaServiceImageTags">
    <vt:lpwstr/>
  </property>
</Properties>
</file>