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UMI O\LUMI\TRANSMITERE_MARTIE 2025\"/>
    </mc:Choice>
  </mc:AlternateContent>
  <bookViews>
    <workbookView xWindow="-120" yWindow="-120" windowWidth="20730" windowHeight="11160"/>
  </bookViews>
  <sheets>
    <sheet name="Amount of N-fertilizer aplied" sheetId="3" r:id="rId1"/>
    <sheet name="Crop production" sheetId="2" r:id="rId2"/>
    <sheet name="Livestock" sheetId="1" r:id="rId3"/>
    <sheet name="National parameters" sheetId="4" r:id="rId4"/>
  </sheets>
  <calcPr calcId="162913"/>
  <fileRecoveryPr repairLoad="1"/>
</workbook>
</file>

<file path=xl/calcChain.xml><?xml version="1.0" encoding="utf-8"?>
<calcChain xmlns="http://schemas.openxmlformats.org/spreadsheetml/2006/main">
  <c r="AK58" i="1" l="1"/>
  <c r="AK57" i="1"/>
  <c r="AK40" i="1"/>
  <c r="AK39" i="1"/>
  <c r="AK52" i="1"/>
  <c r="AK51" i="1"/>
  <c r="AK46" i="1"/>
  <c r="AK45" i="1"/>
  <c r="AK34" i="1"/>
  <c r="AK33" i="1"/>
  <c r="AK23" i="1"/>
  <c r="AK29" i="1"/>
  <c r="AK28" i="1"/>
  <c r="AK27" i="1"/>
  <c r="AK22" i="1"/>
  <c r="AK21" i="1"/>
  <c r="AK20" i="1"/>
  <c r="AK15" i="1"/>
  <c r="AK14" i="1"/>
  <c r="AK13" i="1"/>
  <c r="AK9" i="1"/>
  <c r="AK8" i="1"/>
  <c r="AK7" i="1"/>
  <c r="AK166" i="2"/>
  <c r="AK164" i="2"/>
  <c r="AK163" i="2"/>
  <c r="AK158" i="2"/>
  <c r="AK157" i="2"/>
  <c r="AK152" i="2"/>
  <c r="AK151" i="2"/>
  <c r="AK146" i="2"/>
  <c r="AK145" i="2"/>
  <c r="AK140" i="2"/>
  <c r="AK139" i="2"/>
  <c r="AK134" i="2"/>
  <c r="AK133" i="2"/>
  <c r="AK128" i="2"/>
  <c r="AK127" i="2"/>
  <c r="AK122" i="2"/>
  <c r="AK121" i="2"/>
  <c r="AK117" i="2"/>
  <c r="AK116" i="2"/>
  <c r="AK115" i="2"/>
  <c r="AK110" i="2"/>
  <c r="AK109" i="2"/>
  <c r="AK104" i="2"/>
  <c r="AK103" i="2"/>
  <c r="AK99" i="2"/>
  <c r="AK98" i="2"/>
  <c r="AK97" i="2"/>
  <c r="AK92" i="2"/>
  <c r="AK91" i="2"/>
  <c r="AK86" i="2"/>
  <c r="AK85" i="2"/>
  <c r="AK81" i="2"/>
  <c r="AK80" i="2"/>
  <c r="AK79" i="2"/>
  <c r="AK74" i="2"/>
  <c r="AK73" i="2"/>
  <c r="AK68" i="2"/>
  <c r="AK67" i="2"/>
  <c r="AK62" i="2"/>
  <c r="AK61" i="2"/>
  <c r="AK56" i="2"/>
  <c r="AK55" i="2"/>
  <c r="AK51" i="2"/>
  <c r="AK50" i="2"/>
  <c r="AK49" i="2"/>
  <c r="AK45" i="2"/>
  <c r="AK44" i="2"/>
  <c r="AK43" i="2"/>
  <c r="AK39" i="2"/>
  <c r="AK38" i="2"/>
  <c r="AK37" i="2"/>
  <c r="AK33" i="2"/>
  <c r="AK32" i="2"/>
  <c r="AK31" i="2"/>
  <c r="AK26" i="2"/>
  <c r="AK25" i="2"/>
  <c r="AK27" i="2"/>
  <c r="AK21" i="2"/>
  <c r="AK20" i="2"/>
  <c r="AK19" i="2"/>
  <c r="AK14" i="2"/>
  <c r="AK13" i="2"/>
  <c r="AK12" i="2"/>
  <c r="AK8" i="2"/>
  <c r="AK7" i="2"/>
  <c r="AK6" i="2"/>
  <c r="AK6" i="3" l="1"/>
  <c r="AK5" i="3"/>
  <c r="AJ29" i="1" l="1"/>
  <c r="AJ15" i="1"/>
  <c r="AJ9" i="1"/>
  <c r="AJ22" i="1"/>
  <c r="AJ23" i="1" s="1"/>
  <c r="AJ8" i="1"/>
  <c r="AJ7" i="1"/>
  <c r="AJ58" i="1"/>
  <c r="AJ57" i="1"/>
  <c r="AJ52" i="1"/>
  <c r="AJ51" i="1"/>
  <c r="AJ46" i="1"/>
  <c r="AJ45" i="1"/>
  <c r="AJ40" i="1"/>
  <c r="AJ39" i="1"/>
  <c r="AJ34" i="1"/>
  <c r="AJ33" i="1"/>
  <c r="AJ28" i="1"/>
  <c r="AJ27" i="1"/>
  <c r="AJ21" i="1"/>
  <c r="AJ20" i="1"/>
  <c r="AJ14" i="1"/>
  <c r="AJ13" i="1"/>
  <c r="AJ81" i="2"/>
  <c r="AJ33" i="2"/>
  <c r="AJ166" i="2"/>
  <c r="AJ164" i="2"/>
  <c r="AJ163" i="2"/>
  <c r="AJ158" i="2"/>
  <c r="AJ157" i="2"/>
  <c r="AJ152" i="2"/>
  <c r="AJ151" i="2"/>
  <c r="AJ146" i="2"/>
  <c r="AJ145" i="2"/>
  <c r="AJ140" i="2"/>
  <c r="AJ139" i="2"/>
  <c r="AJ134" i="2"/>
  <c r="AJ133" i="2"/>
  <c r="AJ128" i="2"/>
  <c r="AJ127" i="2"/>
  <c r="AJ122" i="2" l="1"/>
  <c r="AJ121" i="2"/>
  <c r="AJ117" i="2"/>
  <c r="AJ116" i="2"/>
  <c r="AJ115" i="2"/>
  <c r="AJ110" i="2"/>
  <c r="AJ109" i="2"/>
  <c r="AJ104" i="2"/>
  <c r="AJ103" i="2"/>
  <c r="AJ99" i="2"/>
  <c r="AJ98" i="2"/>
  <c r="AJ97" i="2"/>
  <c r="AJ92" i="2"/>
  <c r="AJ91" i="2"/>
  <c r="AJ86" i="2"/>
  <c r="AJ85" i="2"/>
  <c r="AJ80" i="2"/>
  <c r="AJ79" i="2"/>
  <c r="AJ74" i="2"/>
  <c r="AJ73" i="2"/>
  <c r="AJ68" i="2"/>
  <c r="AJ67" i="2"/>
  <c r="AJ62" i="2"/>
  <c r="AJ61" i="2"/>
  <c r="AJ56" i="2"/>
  <c r="AJ55" i="2"/>
  <c r="AJ51" i="2"/>
  <c r="AJ50" i="2"/>
  <c r="AJ49" i="2"/>
  <c r="AJ45" i="2"/>
  <c r="AJ44" i="2"/>
  <c r="AJ43" i="2"/>
  <c r="AJ39" i="2"/>
  <c r="AJ38" i="2"/>
  <c r="AJ37" i="2"/>
  <c r="AJ32" i="2"/>
  <c r="AJ31" i="2"/>
  <c r="AJ21" i="2"/>
  <c r="AJ27" i="2"/>
  <c r="AJ26" i="2"/>
  <c r="AJ25" i="2"/>
  <c r="AJ20" i="2"/>
  <c r="AJ19" i="2"/>
  <c r="AJ14" i="2"/>
  <c r="AJ13" i="2"/>
  <c r="AJ12" i="2"/>
  <c r="AJ8" i="2"/>
  <c r="AJ7" i="2"/>
  <c r="AJ6" i="2"/>
  <c r="AJ6" i="3"/>
  <c r="AJ5" i="3"/>
  <c r="AI166" i="2" l="1"/>
  <c r="AI164" i="2"/>
  <c r="AI163" i="2"/>
  <c r="AI158" i="2"/>
  <c r="AI157" i="2"/>
  <c r="AI152" i="2"/>
  <c r="AI151" i="2"/>
  <c r="AI146" i="2"/>
  <c r="AI145" i="2"/>
  <c r="AI140" i="2"/>
  <c r="AI139" i="2"/>
  <c r="AI134" i="2"/>
  <c r="AI133" i="2"/>
  <c r="AI128" i="2"/>
  <c r="AI127" i="2"/>
  <c r="AI122" i="2"/>
  <c r="AI121" i="2"/>
  <c r="AI117" i="2" l="1"/>
  <c r="AI116" i="2"/>
  <c r="AI115" i="2"/>
  <c r="AI110" i="2"/>
  <c r="AI109" i="2"/>
  <c r="AI104" i="2"/>
  <c r="AI103" i="2"/>
  <c r="AI99" i="2"/>
  <c r="AI98" i="2"/>
  <c r="AI97" i="2"/>
  <c r="AI92" i="2"/>
  <c r="AI91" i="2"/>
  <c r="AI86" i="2"/>
  <c r="AI85" i="2"/>
  <c r="AI81" i="2"/>
  <c r="AI80" i="2"/>
  <c r="AI79" i="2"/>
  <c r="AI74" i="2"/>
  <c r="AI73" i="2"/>
  <c r="AI68" i="2"/>
  <c r="AI67" i="2"/>
  <c r="AI62" i="2"/>
  <c r="AI61" i="2"/>
  <c r="AI56" i="2"/>
  <c r="AI55" i="2"/>
  <c r="AI45" i="2"/>
  <c r="AI51" i="2"/>
  <c r="AI50" i="2"/>
  <c r="AI49" i="2"/>
  <c r="AI44" i="2"/>
  <c r="AI43" i="2"/>
  <c r="AI39" i="2" l="1"/>
  <c r="AI38" i="2"/>
  <c r="AI37" i="2"/>
  <c r="AI33" i="2"/>
  <c r="AI32" i="2"/>
  <c r="AI31" i="2"/>
  <c r="AI27" i="2"/>
  <c r="AI26" i="2"/>
  <c r="AI25" i="2"/>
  <c r="AI21" i="2"/>
  <c r="AI20" i="2"/>
  <c r="AI19" i="2"/>
  <c r="AI8" i="2"/>
  <c r="AI14" i="2"/>
  <c r="AI13" i="2"/>
  <c r="AI12" i="2"/>
  <c r="AI7" i="2"/>
  <c r="AI6" i="2"/>
  <c r="AI58" i="1"/>
  <c r="AI57" i="1"/>
  <c r="AI52" i="1"/>
  <c r="AI51" i="1"/>
  <c r="AI46" i="1"/>
  <c r="AI45" i="1"/>
  <c r="AI40" i="1"/>
  <c r="AI39" i="1"/>
  <c r="AI34" i="1"/>
  <c r="AI33" i="1"/>
  <c r="AI14" i="1"/>
  <c r="AI13" i="1"/>
  <c r="AI8" i="1"/>
  <c r="AI7" i="1"/>
  <c r="AI21" i="1"/>
  <c r="AI20" i="1"/>
  <c r="AI28" i="1"/>
  <c r="AI27" i="1"/>
  <c r="AI23" i="1"/>
  <c r="AI6" i="3" l="1"/>
  <c r="AI5" i="3"/>
  <c r="AH81" i="2" l="1"/>
  <c r="AH117" i="2"/>
  <c r="AH99" i="2"/>
  <c r="AH51" i="2"/>
  <c r="AH45" i="2"/>
  <c r="AH39" i="2"/>
  <c r="AH33" i="2"/>
  <c r="AH27" i="2"/>
  <c r="AH21" i="2"/>
  <c r="AH14" i="2"/>
  <c r="AH8" i="2"/>
  <c r="AH23" i="1"/>
  <c r="AH28" i="1"/>
  <c r="AH27" i="1"/>
  <c r="AH20" i="1"/>
  <c r="AG20" i="1"/>
  <c r="AF20" i="1"/>
  <c r="AH21" i="1"/>
  <c r="AH58" i="1"/>
  <c r="AH57" i="1"/>
  <c r="AH8" i="1"/>
  <c r="AH7" i="1"/>
  <c r="AH52" i="1"/>
  <c r="AH51" i="1"/>
  <c r="AH46" i="1"/>
  <c r="AH45" i="1"/>
  <c r="AH40" i="1"/>
  <c r="AH39" i="1"/>
  <c r="AH34" i="1"/>
  <c r="AH33" i="1"/>
  <c r="AH14" i="1"/>
  <c r="AH13" i="1"/>
  <c r="AH166" i="2"/>
  <c r="AH164" i="2"/>
  <c r="AH163" i="2"/>
  <c r="AH158" i="2"/>
  <c r="AH157" i="2"/>
  <c r="AH152" i="2"/>
  <c r="AH151" i="2"/>
  <c r="AH146" i="2"/>
  <c r="AH145" i="2"/>
  <c r="AH140" i="2"/>
  <c r="AH139" i="2"/>
  <c r="AH134" i="2"/>
  <c r="AH133" i="2"/>
  <c r="AH128" i="2"/>
  <c r="AH127" i="2"/>
  <c r="AH122" i="2"/>
  <c r="AH121" i="2"/>
  <c r="AH116" i="2"/>
  <c r="AH115" i="2"/>
  <c r="AH110" i="2"/>
  <c r="AH109" i="2"/>
  <c r="AH104" i="2"/>
  <c r="AH103" i="2"/>
  <c r="AH98" i="2"/>
  <c r="AH97" i="2"/>
  <c r="AH92" i="2"/>
  <c r="AH91" i="2"/>
  <c r="AH86" i="2"/>
  <c r="AH85" i="2"/>
  <c r="AH80" i="2"/>
  <c r="AH79" i="2"/>
  <c r="AH74" i="2"/>
  <c r="AH73" i="2"/>
  <c r="AH56" i="2"/>
  <c r="AH55" i="2"/>
  <c r="AH62" i="2"/>
  <c r="AH61" i="2"/>
  <c r="AH68" i="2"/>
  <c r="AH67" i="2"/>
  <c r="AH6" i="3" l="1"/>
  <c r="AB166" i="2" l="1"/>
  <c r="AC166" i="2"/>
  <c r="AD166" i="2"/>
  <c r="AE166" i="2"/>
  <c r="AF166" i="2"/>
  <c r="AG166" i="2"/>
  <c r="AH50" i="2" l="1"/>
  <c r="AH49" i="2"/>
  <c r="AH44" i="2"/>
  <c r="AH43" i="2"/>
  <c r="AH38" i="2"/>
  <c r="AH37" i="2"/>
  <c r="AH32" i="2"/>
  <c r="AH31" i="2"/>
  <c r="AH26" i="2"/>
  <c r="AH25" i="2"/>
  <c r="AH20" i="2"/>
  <c r="AH19" i="2"/>
  <c r="AH7" i="2"/>
  <c r="AH6" i="2"/>
  <c r="AH13" i="2"/>
  <c r="AH12" i="2"/>
  <c r="AH5" i="3" l="1"/>
  <c r="S23" i="1" l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R23" i="1"/>
  <c r="R15" i="1"/>
  <c r="AF21" i="1"/>
  <c r="AG21" i="1"/>
  <c r="AG58" i="1" l="1"/>
  <c r="AG57" i="1"/>
  <c r="AG52" i="1"/>
  <c r="AG51" i="1"/>
  <c r="AG46" i="1"/>
  <c r="AG45" i="1"/>
  <c r="AG40" i="1"/>
  <c r="AG39" i="1"/>
  <c r="AG34" i="1"/>
  <c r="AG33" i="1"/>
  <c r="AG28" i="1"/>
  <c r="AG27" i="1"/>
  <c r="AG14" i="1"/>
  <c r="AG13" i="1"/>
  <c r="AG8" i="1"/>
  <c r="AG7" i="1"/>
  <c r="AD68" i="2"/>
  <c r="AG164" i="2" l="1"/>
  <c r="AG163" i="2"/>
  <c r="AG158" i="2"/>
  <c r="AG157" i="2"/>
  <c r="AG152" i="2"/>
  <c r="AG151" i="2"/>
  <c r="AG146" i="2"/>
  <c r="AG145" i="2"/>
  <c r="AG140" i="2"/>
  <c r="AG139" i="2"/>
  <c r="AG134" i="2"/>
  <c r="AG133" i="2"/>
  <c r="AG128" i="2"/>
  <c r="AG127" i="2"/>
  <c r="AG116" i="2"/>
  <c r="AG115" i="2"/>
  <c r="AG110" i="2"/>
  <c r="AG109" i="2"/>
  <c r="AG104" i="2"/>
  <c r="AG103" i="2"/>
  <c r="AG98" i="2"/>
  <c r="AG97" i="2"/>
  <c r="AG92" i="2"/>
  <c r="AG91" i="2"/>
  <c r="AG86" i="2"/>
  <c r="AG85" i="2"/>
  <c r="AG80" i="2"/>
  <c r="AG79" i="2"/>
  <c r="AG74" i="2"/>
  <c r="AG73" i="2"/>
  <c r="AG68" i="2"/>
  <c r="AG67" i="2"/>
  <c r="AG62" i="2"/>
  <c r="AG61" i="2"/>
  <c r="AG56" i="2"/>
  <c r="AG55" i="2"/>
  <c r="AG50" i="2"/>
  <c r="AG49" i="2"/>
  <c r="AG44" i="2"/>
  <c r="AG43" i="2"/>
  <c r="AG38" i="2"/>
  <c r="AG37" i="2"/>
  <c r="AG32" i="2"/>
  <c r="AG31" i="2"/>
  <c r="AG26" i="2"/>
  <c r="AG25" i="2"/>
  <c r="AG20" i="2"/>
  <c r="AG19" i="2"/>
  <c r="AG13" i="2"/>
  <c r="AG12" i="2"/>
  <c r="AG7" i="2"/>
  <c r="AG6" i="2"/>
  <c r="D6" i="3"/>
  <c r="E6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T6" i="3"/>
  <c r="U6" i="3"/>
  <c r="V6" i="3"/>
  <c r="W6" i="3"/>
  <c r="X6" i="3"/>
  <c r="Y6" i="3"/>
  <c r="Z6" i="3"/>
  <c r="AA6" i="3"/>
  <c r="AB6" i="3"/>
  <c r="AC6" i="3"/>
  <c r="AD6" i="3"/>
  <c r="AE6" i="3"/>
  <c r="AF6" i="3"/>
  <c r="AG6" i="3"/>
  <c r="C6" i="3"/>
  <c r="AG5" i="3"/>
  <c r="AF20" i="2" l="1"/>
  <c r="AF164" i="2"/>
  <c r="AF163" i="2"/>
  <c r="AF158" i="2"/>
  <c r="AF157" i="2"/>
  <c r="AF152" i="2"/>
  <c r="AF151" i="2"/>
  <c r="AF146" i="2"/>
  <c r="AF145" i="2"/>
  <c r="AF140" i="2"/>
  <c r="AF139" i="2"/>
  <c r="AF134" i="2"/>
  <c r="AF133" i="2"/>
  <c r="AF128" i="2"/>
  <c r="AF127" i="2"/>
  <c r="AF122" i="2"/>
  <c r="AF121" i="2"/>
  <c r="AF116" i="2"/>
  <c r="AF115" i="2"/>
  <c r="AF110" i="2"/>
  <c r="AF109" i="2"/>
  <c r="AF104" i="2"/>
  <c r="AF103" i="2"/>
  <c r="AF98" i="2"/>
  <c r="AF97" i="2"/>
  <c r="AF92" i="2"/>
  <c r="AF91" i="2"/>
  <c r="AF86" i="2"/>
  <c r="AF85" i="2"/>
  <c r="AF80" i="2"/>
  <c r="AF79" i="2"/>
  <c r="AF74" i="2"/>
  <c r="AF73" i="2"/>
  <c r="AF68" i="2"/>
  <c r="AF67" i="2"/>
  <c r="AF62" i="2"/>
  <c r="AF61" i="2"/>
  <c r="AF56" i="2"/>
  <c r="AF55" i="2"/>
  <c r="AF50" i="2"/>
  <c r="AF49" i="2"/>
  <c r="AF44" i="2"/>
  <c r="AF43" i="2"/>
  <c r="AF38" i="2"/>
  <c r="AF37" i="2"/>
  <c r="AF32" i="2"/>
  <c r="AF31" i="2"/>
  <c r="AF26" i="2"/>
  <c r="AF25" i="2"/>
  <c r="AF19" i="2"/>
  <c r="AF13" i="2"/>
  <c r="AF12" i="2"/>
  <c r="AF7" i="2"/>
  <c r="AF6" i="2"/>
  <c r="AF58" i="1"/>
  <c r="AF57" i="1"/>
  <c r="AF52" i="1"/>
  <c r="AF51" i="1"/>
  <c r="AF46" i="1"/>
  <c r="AF45" i="1"/>
  <c r="AF40" i="1"/>
  <c r="AF39" i="1"/>
  <c r="AF34" i="1"/>
  <c r="AF33" i="1"/>
  <c r="AF28" i="1"/>
  <c r="AF27" i="1"/>
  <c r="AF14" i="1"/>
  <c r="AF13" i="1"/>
  <c r="AF8" i="1"/>
  <c r="AF7" i="1"/>
  <c r="AF5" i="3" l="1"/>
  <c r="AE11" i="1" l="1"/>
  <c r="AD11" i="1"/>
  <c r="AC11" i="1"/>
  <c r="AB11" i="1"/>
  <c r="AE18" i="1"/>
  <c r="AD18" i="1"/>
  <c r="AC18" i="1"/>
  <c r="AE5" i="1"/>
  <c r="AD5" i="1"/>
  <c r="AC5" i="1"/>
  <c r="AE49" i="1"/>
  <c r="AD49" i="1"/>
  <c r="AC49" i="1"/>
  <c r="AB49" i="1"/>
  <c r="AE35" i="2"/>
  <c r="AD35" i="2"/>
  <c r="AC35" i="2"/>
  <c r="AB35" i="2"/>
  <c r="AA35" i="2"/>
  <c r="Z35" i="2"/>
  <c r="Y35" i="2"/>
  <c r="X35" i="2"/>
  <c r="W35" i="2"/>
  <c r="V35" i="2"/>
  <c r="U35" i="2"/>
  <c r="AE29" i="2"/>
  <c r="AD29" i="2"/>
  <c r="AC29" i="2"/>
  <c r="AB29" i="2"/>
  <c r="AA29" i="2"/>
  <c r="Z29" i="2"/>
  <c r="Y29" i="2"/>
  <c r="X29" i="2"/>
  <c r="W29" i="2"/>
  <c r="V29" i="2"/>
  <c r="U29" i="2"/>
  <c r="AE23" i="2"/>
  <c r="AD23" i="2"/>
  <c r="AC23" i="2"/>
  <c r="AB23" i="2"/>
  <c r="AA23" i="2"/>
  <c r="Z23" i="2"/>
  <c r="Y23" i="2"/>
  <c r="X23" i="2"/>
  <c r="W23" i="2"/>
  <c r="V23" i="2"/>
  <c r="U23" i="2"/>
  <c r="AE19" i="2"/>
  <c r="AE17" i="2"/>
  <c r="AD17" i="2"/>
  <c r="AC17" i="2"/>
  <c r="AB17" i="2"/>
  <c r="AE10" i="2"/>
  <c r="AD10" i="2"/>
  <c r="AC10" i="2"/>
  <c r="AB10" i="2"/>
  <c r="AA10" i="2"/>
  <c r="Z10" i="2"/>
  <c r="Y10" i="2"/>
  <c r="X10" i="2"/>
  <c r="W10" i="2"/>
  <c r="V10" i="2"/>
  <c r="U10" i="2"/>
  <c r="AE4" i="2"/>
  <c r="AD4" i="2"/>
  <c r="AC4" i="2"/>
  <c r="AB4" i="2"/>
  <c r="AE56" i="2" l="1"/>
  <c r="AE55" i="2"/>
  <c r="AC5" i="3"/>
  <c r="AD5" i="3"/>
  <c r="AE5" i="3"/>
  <c r="AB5" i="3"/>
  <c r="AA5" i="3"/>
  <c r="Z5" i="3"/>
  <c r="AE58" i="1" l="1"/>
  <c r="AE57" i="1"/>
  <c r="AE52" i="1"/>
  <c r="AE51" i="1"/>
  <c r="AE46" i="1"/>
  <c r="AE45" i="1"/>
  <c r="AE40" i="1"/>
  <c r="AE39" i="1"/>
  <c r="AE34" i="1"/>
  <c r="AE33" i="1"/>
  <c r="AE28" i="1"/>
  <c r="AE27" i="1"/>
  <c r="AE21" i="1"/>
  <c r="AE20" i="1"/>
  <c r="AE14" i="1"/>
  <c r="AE13" i="1"/>
  <c r="AE8" i="1"/>
  <c r="AE7" i="1"/>
  <c r="AE164" i="2"/>
  <c r="AE163" i="2"/>
  <c r="AE158" i="2"/>
  <c r="AE157" i="2"/>
  <c r="AE152" i="2"/>
  <c r="AE151" i="2"/>
  <c r="AE146" i="2"/>
  <c r="AE145" i="2"/>
  <c r="AE140" i="2"/>
  <c r="AE139" i="2"/>
  <c r="AE134" i="2"/>
  <c r="AE133" i="2"/>
  <c r="AE128" i="2"/>
  <c r="AE127" i="2"/>
  <c r="AE122" i="2"/>
  <c r="AE121" i="2"/>
  <c r="AE116" i="2"/>
  <c r="AE115" i="2"/>
  <c r="AE110" i="2"/>
  <c r="AE109" i="2"/>
  <c r="AE104" i="2"/>
  <c r="AE103" i="2"/>
  <c r="AE98" i="2"/>
  <c r="AE97" i="2"/>
  <c r="AE92" i="2"/>
  <c r="AE91" i="2"/>
  <c r="AE86" i="2"/>
  <c r="AE85" i="2"/>
  <c r="AE80" i="2"/>
  <c r="AE79" i="2"/>
  <c r="AE74" i="2"/>
  <c r="AE73" i="2"/>
  <c r="AE67" i="2"/>
  <c r="AE62" i="2"/>
  <c r="AE61" i="2"/>
  <c r="AE50" i="2"/>
  <c r="AE49" i="2"/>
  <c r="AE44" i="2"/>
  <c r="AE43" i="2"/>
  <c r="AE38" i="2"/>
  <c r="AE37" i="2"/>
  <c r="AE32" i="2"/>
  <c r="AE31" i="2"/>
  <c r="AE26" i="2"/>
  <c r="AE25" i="2"/>
  <c r="AE20" i="2"/>
  <c r="AE13" i="2"/>
  <c r="AE12" i="2"/>
  <c r="AE7" i="2"/>
  <c r="AE6" i="2"/>
  <c r="AD40" i="1" l="1"/>
  <c r="AD39" i="1"/>
  <c r="AC40" i="1"/>
  <c r="AC39" i="1"/>
  <c r="AD58" i="1" l="1"/>
  <c r="AD57" i="1"/>
  <c r="AD52" i="1"/>
  <c r="AD51" i="1"/>
  <c r="AD46" i="1"/>
  <c r="AD45" i="1"/>
  <c r="AD34" i="1"/>
  <c r="AD33" i="1"/>
  <c r="AD28" i="1"/>
  <c r="AD27" i="1"/>
  <c r="AD21" i="1"/>
  <c r="AD20" i="1"/>
  <c r="AD14" i="1"/>
  <c r="AD13" i="1"/>
  <c r="AD8" i="1"/>
  <c r="AD7" i="1"/>
  <c r="AD164" i="2"/>
  <c r="AD163" i="2"/>
  <c r="AD158" i="2"/>
  <c r="AD157" i="2"/>
  <c r="AD152" i="2"/>
  <c r="AD151" i="2"/>
  <c r="AD146" i="2"/>
  <c r="AD145" i="2"/>
  <c r="AD140" i="2"/>
  <c r="AD139" i="2"/>
  <c r="AD134" i="2"/>
  <c r="AD133" i="2"/>
  <c r="AD128" i="2"/>
  <c r="AD127" i="2"/>
  <c r="AD122" i="2"/>
  <c r="AD121" i="2"/>
  <c r="AD116" i="2"/>
  <c r="AD115" i="2"/>
  <c r="AD110" i="2"/>
  <c r="AD109" i="2"/>
  <c r="AD104" i="2"/>
  <c r="AD103" i="2"/>
  <c r="AD98" i="2"/>
  <c r="AD97" i="2"/>
  <c r="AD92" i="2"/>
  <c r="AD91" i="2"/>
  <c r="AD86" i="2"/>
  <c r="AD85" i="2"/>
  <c r="AC79" i="2"/>
  <c r="AD80" i="2"/>
  <c r="AD79" i="2"/>
  <c r="AD74" i="2"/>
  <c r="AD73" i="2"/>
  <c r="AE68" i="2"/>
  <c r="AD67" i="2"/>
  <c r="AD62" i="2"/>
  <c r="AD61" i="2"/>
  <c r="AD56" i="2"/>
  <c r="AD55" i="2"/>
  <c r="AD50" i="2"/>
  <c r="AD49" i="2"/>
  <c r="AD44" i="2"/>
  <c r="AD43" i="2"/>
  <c r="AD38" i="2"/>
  <c r="AD37" i="2"/>
  <c r="AD32" i="2"/>
  <c r="AD31" i="2"/>
  <c r="AD26" i="2"/>
  <c r="AD25" i="2"/>
  <c r="AD20" i="2"/>
  <c r="AD19" i="2"/>
  <c r="AD13" i="2"/>
  <c r="AD12" i="2"/>
  <c r="AD7" i="2"/>
  <c r="AD6" i="2"/>
  <c r="AC7" i="2" l="1"/>
  <c r="AC6" i="2"/>
  <c r="AC13" i="2"/>
  <c r="AC12" i="2"/>
  <c r="AC20" i="2"/>
  <c r="AC19" i="2"/>
  <c r="AC26" i="2"/>
  <c r="AC25" i="2"/>
  <c r="AC32" i="2"/>
  <c r="AC31" i="2"/>
  <c r="AC38" i="2"/>
  <c r="AC37" i="2"/>
  <c r="AC44" i="2"/>
  <c r="AC43" i="2"/>
  <c r="AC50" i="2"/>
  <c r="AC49" i="2"/>
  <c r="AC56" i="2"/>
  <c r="AC55" i="2"/>
  <c r="AC62" i="2"/>
  <c r="AC61" i="2"/>
  <c r="AC68" i="2"/>
  <c r="AC67" i="2"/>
  <c r="AC74" i="2"/>
  <c r="AC73" i="2"/>
  <c r="AC80" i="2"/>
  <c r="AC86" i="2"/>
  <c r="AC85" i="2"/>
  <c r="AC92" i="2"/>
  <c r="AC91" i="2"/>
  <c r="AC98" i="2"/>
  <c r="AC97" i="2"/>
  <c r="AC104" i="2"/>
  <c r="AC103" i="2"/>
  <c r="AC110" i="2"/>
  <c r="AC109" i="2"/>
  <c r="AC116" i="2"/>
  <c r="AC115" i="2"/>
  <c r="AC122" i="2"/>
  <c r="AC121" i="2"/>
  <c r="AC128" i="2"/>
  <c r="AC127" i="2"/>
  <c r="AC134" i="2"/>
  <c r="AC133" i="2"/>
  <c r="AC140" i="2"/>
  <c r="AC139" i="2"/>
  <c r="AC146" i="2"/>
  <c r="AC145" i="2"/>
  <c r="AC152" i="2"/>
  <c r="AC151" i="2"/>
  <c r="AC164" i="2"/>
  <c r="AC163" i="2"/>
  <c r="AC158" i="2"/>
  <c r="AC157" i="2"/>
  <c r="D58" i="1" l="1"/>
  <c r="E58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C58" i="1"/>
  <c r="D57" i="1"/>
  <c r="E57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C57" i="1"/>
  <c r="AC52" i="1"/>
  <c r="AC51" i="1"/>
  <c r="AC46" i="1" l="1"/>
  <c r="AC45" i="1"/>
  <c r="AC34" i="1"/>
  <c r="AC33" i="1"/>
  <c r="AC28" i="1"/>
  <c r="AC27" i="1"/>
  <c r="AC21" i="1"/>
  <c r="AC20" i="1"/>
  <c r="AC14" i="1"/>
  <c r="AC13" i="1"/>
  <c r="AC8" i="1" l="1"/>
  <c r="AC7" i="1"/>
  <c r="AB7" i="2"/>
  <c r="AA7" i="2"/>
  <c r="Z7" i="2"/>
  <c r="AB33" i="1" l="1"/>
  <c r="AB34" i="1"/>
  <c r="AB52" i="1" l="1"/>
  <c r="AB51" i="1"/>
  <c r="AB46" i="1"/>
  <c r="AB45" i="1"/>
  <c r="AB40" i="1"/>
  <c r="AB39" i="1"/>
  <c r="AB28" i="1"/>
  <c r="AB27" i="1"/>
  <c r="AB21" i="1"/>
  <c r="AB20" i="1"/>
  <c r="AB14" i="1"/>
  <c r="AB13" i="1"/>
  <c r="AB8" i="1"/>
  <c r="AB7" i="1"/>
  <c r="AB164" i="2" l="1"/>
  <c r="AB163" i="2"/>
  <c r="AB158" i="2"/>
  <c r="AB157" i="2"/>
  <c r="AB146" i="2"/>
  <c r="AB145" i="2"/>
  <c r="AB140" i="2"/>
  <c r="AB139" i="2"/>
  <c r="AB152" i="2"/>
  <c r="AB151" i="2"/>
  <c r="AB134" i="2"/>
  <c r="AB133" i="2"/>
  <c r="AB128" i="2"/>
  <c r="AB127" i="2"/>
  <c r="AB122" i="2"/>
  <c r="AB121" i="2"/>
  <c r="AB116" i="2"/>
  <c r="AB115" i="2"/>
  <c r="AB110" i="2"/>
  <c r="AB109" i="2"/>
  <c r="AB104" i="2"/>
  <c r="AB103" i="2"/>
  <c r="AB92" i="2"/>
  <c r="AB91" i="2"/>
  <c r="AB98" i="2"/>
  <c r="AB97" i="2"/>
  <c r="AB86" i="2"/>
  <c r="AB85" i="2"/>
  <c r="AB80" i="2"/>
  <c r="AB79" i="2"/>
  <c r="AB74" i="2"/>
  <c r="AB73" i="2"/>
  <c r="AB68" i="2"/>
  <c r="AB67" i="2"/>
  <c r="AB62" i="2"/>
  <c r="AB61" i="2"/>
  <c r="AB56" i="2"/>
  <c r="AB55" i="2"/>
  <c r="AB50" i="2"/>
  <c r="AB49" i="2"/>
  <c r="AB44" i="2"/>
  <c r="AB43" i="2"/>
  <c r="AB38" i="2"/>
  <c r="AB37" i="2"/>
  <c r="AB32" i="2"/>
  <c r="AB31" i="2"/>
  <c r="AB26" i="2"/>
  <c r="AB25" i="2"/>
  <c r="AB20" i="2"/>
  <c r="AB19" i="2"/>
  <c r="AB13" i="2"/>
  <c r="AB12" i="2"/>
  <c r="AB6" i="2"/>
  <c r="AA52" i="1" l="1"/>
  <c r="AA51" i="1"/>
  <c r="AA46" i="1"/>
  <c r="AA45" i="1"/>
  <c r="AA40" i="1"/>
  <c r="AA39" i="1"/>
  <c r="AA34" i="1"/>
  <c r="AA33" i="1"/>
  <c r="AA28" i="1"/>
  <c r="AA27" i="1"/>
  <c r="AA21" i="1"/>
  <c r="AA20" i="1"/>
  <c r="AA14" i="1"/>
  <c r="AA13" i="1"/>
  <c r="AA8" i="1"/>
  <c r="AA7" i="1"/>
  <c r="C20" i="2"/>
  <c r="C12" i="2"/>
  <c r="Y26" i="2"/>
  <c r="E6" i="2"/>
  <c r="D6" i="2"/>
  <c r="C6" i="2"/>
  <c r="T166" i="2"/>
  <c r="AA166" i="2"/>
  <c r="Q166" i="2"/>
  <c r="O166" i="2"/>
  <c r="N166" i="2"/>
  <c r="O129" i="2"/>
  <c r="N129" i="2"/>
  <c r="O123" i="2"/>
  <c r="N123" i="2"/>
  <c r="O81" i="2"/>
  <c r="N81" i="2"/>
  <c r="O8" i="2"/>
  <c r="N8" i="2"/>
  <c r="O21" i="2"/>
  <c r="N21" i="2"/>
  <c r="AA164" i="2"/>
  <c r="AA163" i="2"/>
  <c r="Z164" i="2"/>
  <c r="Z163" i="2"/>
  <c r="Y164" i="2"/>
  <c r="Y163" i="2"/>
  <c r="X164" i="2"/>
  <c r="X163" i="2"/>
  <c r="W164" i="2"/>
  <c r="W163" i="2"/>
  <c r="V164" i="2"/>
  <c r="V163" i="2"/>
  <c r="U164" i="2"/>
  <c r="U163" i="2"/>
  <c r="T164" i="2"/>
  <c r="T163" i="2"/>
  <c r="S164" i="2"/>
  <c r="S163" i="2"/>
  <c r="R164" i="2"/>
  <c r="R163" i="2"/>
  <c r="Q164" i="2"/>
  <c r="Q163" i="2"/>
  <c r="P164" i="2"/>
  <c r="P163" i="2"/>
  <c r="O164" i="2"/>
  <c r="O163" i="2"/>
  <c r="N164" i="2"/>
  <c r="N163" i="2"/>
  <c r="M164" i="2"/>
  <c r="M163" i="2"/>
  <c r="L164" i="2"/>
  <c r="L163" i="2"/>
  <c r="K164" i="2"/>
  <c r="K163" i="2"/>
  <c r="J164" i="2"/>
  <c r="J163" i="2"/>
  <c r="I164" i="2"/>
  <c r="I163" i="2"/>
  <c r="H164" i="2"/>
  <c r="H163" i="2"/>
  <c r="G164" i="2"/>
  <c r="G163" i="2"/>
  <c r="F164" i="2"/>
  <c r="F163" i="2"/>
  <c r="E164" i="2"/>
  <c r="E163" i="2"/>
  <c r="D164" i="2"/>
  <c r="D163" i="2"/>
  <c r="C164" i="2"/>
  <c r="C163" i="2"/>
  <c r="AA152" i="2"/>
  <c r="AA151" i="2"/>
  <c r="AA158" i="2"/>
  <c r="AA157" i="2"/>
  <c r="Z152" i="2"/>
  <c r="Z151" i="2"/>
  <c r="AA146" i="2"/>
  <c r="AA145" i="2"/>
  <c r="AA140" i="2"/>
  <c r="AA139" i="2"/>
  <c r="AA134" i="2"/>
  <c r="AA133" i="2"/>
  <c r="R134" i="2"/>
  <c r="R133" i="2"/>
  <c r="AA128" i="2"/>
  <c r="AA127" i="2"/>
  <c r="Y128" i="2"/>
  <c r="X128" i="2"/>
  <c r="X127" i="2"/>
  <c r="F128" i="2"/>
  <c r="F127" i="2"/>
  <c r="AA122" i="2"/>
  <c r="AA121" i="2"/>
  <c r="AA116" i="2"/>
  <c r="AA115" i="2"/>
  <c r="AA110" i="2"/>
  <c r="AA109" i="2"/>
  <c r="AA104" i="2"/>
  <c r="AA103" i="2"/>
  <c r="AA98" i="2"/>
  <c r="AA97" i="2"/>
  <c r="AA92" i="2"/>
  <c r="AA91" i="2"/>
  <c r="AA85" i="2"/>
  <c r="AA86" i="2"/>
  <c r="AA80" i="2"/>
  <c r="AA79" i="2"/>
  <c r="AA74" i="2"/>
  <c r="AA73" i="2"/>
  <c r="AA68" i="2"/>
  <c r="AA67" i="2"/>
  <c r="AA62" i="2"/>
  <c r="AA61" i="2"/>
  <c r="AA56" i="2"/>
  <c r="AA55" i="2"/>
  <c r="AA50" i="2"/>
  <c r="AA49" i="2"/>
  <c r="AA44" i="2"/>
  <c r="AA43" i="2"/>
  <c r="AA38" i="2"/>
  <c r="AA37" i="2"/>
  <c r="AA32" i="2"/>
  <c r="AA31" i="2"/>
  <c r="AA26" i="2"/>
  <c r="AA25" i="2"/>
  <c r="AA20" i="2"/>
  <c r="AA19" i="2"/>
  <c r="AA13" i="2"/>
  <c r="AA12" i="2"/>
  <c r="AA6" i="2"/>
  <c r="Y5" i="3"/>
  <c r="P5" i="3"/>
  <c r="O5" i="3"/>
  <c r="N5" i="3"/>
  <c r="M5" i="3"/>
  <c r="L5" i="3"/>
  <c r="K5" i="3"/>
  <c r="J5" i="3"/>
  <c r="I5" i="3"/>
  <c r="H5" i="3"/>
  <c r="G5" i="3"/>
  <c r="F5" i="3"/>
  <c r="E5" i="3"/>
  <c r="D5" i="3"/>
  <c r="Q5" i="3"/>
  <c r="R5" i="3"/>
  <c r="S5" i="3"/>
  <c r="T5" i="3"/>
  <c r="U5" i="3"/>
  <c r="V5" i="3"/>
  <c r="W5" i="3"/>
  <c r="X5" i="3"/>
  <c r="C5" i="3"/>
  <c r="Z52" i="1"/>
  <c r="Z51" i="1"/>
  <c r="Z33" i="1"/>
  <c r="Z27" i="1"/>
  <c r="Z28" i="1"/>
  <c r="Z21" i="1"/>
  <c r="Z20" i="1"/>
  <c r="Z14" i="1"/>
  <c r="Z13" i="1"/>
  <c r="Z7" i="1"/>
  <c r="Z8" i="1"/>
  <c r="Y166" i="2"/>
  <c r="Z166" i="2"/>
  <c r="Z140" i="2"/>
  <c r="Y140" i="2"/>
  <c r="Z134" i="2"/>
  <c r="Y134" i="2"/>
  <c r="Z128" i="2"/>
  <c r="Y122" i="2"/>
  <c r="Z122" i="2"/>
  <c r="Y86" i="2"/>
  <c r="Z80" i="2"/>
  <c r="X86" i="2"/>
  <c r="Z86" i="2"/>
  <c r="Z85" i="2"/>
  <c r="Z158" i="2"/>
  <c r="Z157" i="2"/>
  <c r="Z146" i="2"/>
  <c r="Z145" i="2"/>
  <c r="Z139" i="2"/>
  <c r="Z133" i="2"/>
  <c r="Z127" i="2"/>
  <c r="Z121" i="2"/>
  <c r="Z116" i="2"/>
  <c r="Z115" i="2"/>
  <c r="Z110" i="2"/>
  <c r="Z109" i="2"/>
  <c r="Z104" i="2"/>
  <c r="Z103" i="2"/>
  <c r="Z98" i="2"/>
  <c r="Z97" i="2"/>
  <c r="Z92" i="2"/>
  <c r="Z91" i="2"/>
  <c r="Z79" i="2"/>
  <c r="Z74" i="2"/>
  <c r="Z73" i="2"/>
  <c r="Z68" i="2"/>
  <c r="Z67" i="2"/>
  <c r="Z62" i="2"/>
  <c r="Z61" i="2"/>
  <c r="Z56" i="2"/>
  <c r="Z55" i="2"/>
  <c r="Z50" i="2"/>
  <c r="Z49" i="2"/>
  <c r="Z44" i="2"/>
  <c r="Z43" i="2"/>
  <c r="Z38" i="2"/>
  <c r="Z37" i="2"/>
  <c r="Z32" i="2"/>
  <c r="Z31" i="2"/>
  <c r="Z26" i="2"/>
  <c r="Z25" i="2"/>
  <c r="Z20" i="2"/>
  <c r="Z19" i="2"/>
  <c r="Z13" i="2"/>
  <c r="Z12" i="2"/>
  <c r="Z6" i="2"/>
  <c r="Z46" i="1"/>
  <c r="Z45" i="1"/>
  <c r="Z40" i="1"/>
  <c r="Z39" i="1"/>
  <c r="Z34" i="1"/>
  <c r="X166" i="2"/>
  <c r="W166" i="2"/>
  <c r="V166" i="2"/>
  <c r="U166" i="2"/>
  <c r="S166" i="2"/>
  <c r="R166" i="2"/>
  <c r="P166" i="2"/>
  <c r="Y158" i="2"/>
  <c r="X158" i="2"/>
  <c r="W158" i="2"/>
  <c r="V158" i="2"/>
  <c r="U158" i="2"/>
  <c r="T158" i="2"/>
  <c r="S158" i="2"/>
  <c r="R158" i="2"/>
  <c r="Q158" i="2"/>
  <c r="P158" i="2"/>
  <c r="O158" i="2"/>
  <c r="N158" i="2"/>
  <c r="M158" i="2"/>
  <c r="L158" i="2"/>
  <c r="K158" i="2"/>
  <c r="J158" i="2"/>
  <c r="I158" i="2"/>
  <c r="H158" i="2"/>
  <c r="G158" i="2"/>
  <c r="F158" i="2"/>
  <c r="E158" i="2"/>
  <c r="D158" i="2"/>
  <c r="C158" i="2"/>
  <c r="Y157" i="2"/>
  <c r="X157" i="2"/>
  <c r="W157" i="2"/>
  <c r="V157" i="2"/>
  <c r="U157" i="2"/>
  <c r="T157" i="2"/>
  <c r="S157" i="2"/>
  <c r="R157" i="2"/>
  <c r="Q157" i="2"/>
  <c r="P157" i="2"/>
  <c r="O157" i="2"/>
  <c r="N157" i="2"/>
  <c r="M157" i="2"/>
  <c r="L157" i="2"/>
  <c r="K157" i="2"/>
  <c r="J157" i="2"/>
  <c r="I157" i="2"/>
  <c r="H157" i="2"/>
  <c r="G157" i="2"/>
  <c r="F157" i="2"/>
  <c r="E157" i="2"/>
  <c r="D157" i="2"/>
  <c r="C157" i="2"/>
  <c r="Y152" i="2"/>
  <c r="X152" i="2"/>
  <c r="W152" i="2"/>
  <c r="V152" i="2"/>
  <c r="U152" i="2"/>
  <c r="T152" i="2"/>
  <c r="S152" i="2"/>
  <c r="R152" i="2"/>
  <c r="Q152" i="2"/>
  <c r="P152" i="2"/>
  <c r="O152" i="2"/>
  <c r="N152" i="2"/>
  <c r="M152" i="2"/>
  <c r="L152" i="2"/>
  <c r="K152" i="2"/>
  <c r="J152" i="2"/>
  <c r="I152" i="2"/>
  <c r="H152" i="2"/>
  <c r="G152" i="2"/>
  <c r="F152" i="2"/>
  <c r="E152" i="2"/>
  <c r="D152" i="2"/>
  <c r="C152" i="2"/>
  <c r="Y151" i="2"/>
  <c r="X151" i="2"/>
  <c r="W151" i="2"/>
  <c r="V151" i="2"/>
  <c r="U151" i="2"/>
  <c r="T151" i="2"/>
  <c r="S151" i="2"/>
  <c r="R151" i="2"/>
  <c r="Q151" i="2"/>
  <c r="P151" i="2"/>
  <c r="O151" i="2"/>
  <c r="N151" i="2"/>
  <c r="M151" i="2"/>
  <c r="L151" i="2"/>
  <c r="K151" i="2"/>
  <c r="J151" i="2"/>
  <c r="I151" i="2"/>
  <c r="H151" i="2"/>
  <c r="G151" i="2"/>
  <c r="F151" i="2"/>
  <c r="E151" i="2"/>
  <c r="D151" i="2"/>
  <c r="C151" i="2"/>
  <c r="Y146" i="2"/>
  <c r="X146" i="2"/>
  <c r="W146" i="2"/>
  <c r="V146" i="2"/>
  <c r="U146" i="2"/>
  <c r="T146" i="2"/>
  <c r="S146" i="2"/>
  <c r="R146" i="2"/>
  <c r="Q146" i="2"/>
  <c r="P146" i="2"/>
  <c r="O146" i="2"/>
  <c r="N146" i="2"/>
  <c r="M146" i="2"/>
  <c r="L146" i="2"/>
  <c r="K146" i="2"/>
  <c r="J146" i="2"/>
  <c r="I146" i="2"/>
  <c r="H146" i="2"/>
  <c r="G146" i="2"/>
  <c r="F146" i="2"/>
  <c r="E146" i="2"/>
  <c r="D146" i="2"/>
  <c r="C146" i="2"/>
  <c r="Y145" i="2"/>
  <c r="X145" i="2"/>
  <c r="W145" i="2"/>
  <c r="V145" i="2"/>
  <c r="U145" i="2"/>
  <c r="T145" i="2"/>
  <c r="S145" i="2"/>
  <c r="R145" i="2"/>
  <c r="Q145" i="2"/>
  <c r="P145" i="2"/>
  <c r="O145" i="2"/>
  <c r="N145" i="2"/>
  <c r="M145" i="2"/>
  <c r="L145" i="2"/>
  <c r="K145" i="2"/>
  <c r="J145" i="2"/>
  <c r="I145" i="2"/>
  <c r="H145" i="2"/>
  <c r="G145" i="2"/>
  <c r="F145" i="2"/>
  <c r="E145" i="2"/>
  <c r="D145" i="2"/>
  <c r="C145" i="2"/>
  <c r="X140" i="2"/>
  <c r="W140" i="2"/>
  <c r="V140" i="2"/>
  <c r="U140" i="2"/>
  <c r="T140" i="2"/>
  <c r="S140" i="2"/>
  <c r="R140" i="2"/>
  <c r="Q140" i="2"/>
  <c r="P140" i="2"/>
  <c r="O140" i="2"/>
  <c r="N140" i="2"/>
  <c r="M140" i="2"/>
  <c r="L140" i="2"/>
  <c r="K140" i="2"/>
  <c r="J140" i="2"/>
  <c r="I140" i="2"/>
  <c r="H140" i="2"/>
  <c r="G140" i="2"/>
  <c r="F140" i="2"/>
  <c r="E140" i="2"/>
  <c r="D140" i="2"/>
  <c r="C140" i="2"/>
  <c r="Y139" i="2"/>
  <c r="X139" i="2"/>
  <c r="W139" i="2"/>
  <c r="V139" i="2"/>
  <c r="U139" i="2"/>
  <c r="T139" i="2"/>
  <c r="S139" i="2"/>
  <c r="R139" i="2"/>
  <c r="Q139" i="2"/>
  <c r="P139" i="2"/>
  <c r="O139" i="2"/>
  <c r="N139" i="2"/>
  <c r="M139" i="2"/>
  <c r="L139" i="2"/>
  <c r="K139" i="2"/>
  <c r="J139" i="2"/>
  <c r="I139" i="2"/>
  <c r="H139" i="2"/>
  <c r="G139" i="2"/>
  <c r="F139" i="2"/>
  <c r="E139" i="2"/>
  <c r="D139" i="2"/>
  <c r="C139" i="2"/>
  <c r="X134" i="2"/>
  <c r="W134" i="2"/>
  <c r="V134" i="2"/>
  <c r="U134" i="2"/>
  <c r="T134" i="2"/>
  <c r="S134" i="2"/>
  <c r="Q134" i="2"/>
  <c r="P134" i="2"/>
  <c r="O134" i="2"/>
  <c r="N134" i="2"/>
  <c r="M134" i="2"/>
  <c r="L134" i="2"/>
  <c r="K134" i="2"/>
  <c r="J134" i="2"/>
  <c r="I134" i="2"/>
  <c r="H134" i="2"/>
  <c r="G134" i="2"/>
  <c r="F134" i="2"/>
  <c r="E134" i="2"/>
  <c r="D134" i="2"/>
  <c r="C134" i="2"/>
  <c r="Y133" i="2"/>
  <c r="X133" i="2"/>
  <c r="W133" i="2"/>
  <c r="V133" i="2"/>
  <c r="U133" i="2"/>
  <c r="T133" i="2"/>
  <c r="S133" i="2"/>
  <c r="Q133" i="2"/>
  <c r="P133" i="2"/>
  <c r="O133" i="2"/>
  <c r="N133" i="2"/>
  <c r="M133" i="2"/>
  <c r="L133" i="2"/>
  <c r="K133" i="2"/>
  <c r="J133" i="2"/>
  <c r="I133" i="2"/>
  <c r="H133" i="2"/>
  <c r="G133" i="2"/>
  <c r="F133" i="2"/>
  <c r="E133" i="2"/>
  <c r="D133" i="2"/>
  <c r="C133" i="2"/>
  <c r="W128" i="2"/>
  <c r="V128" i="2"/>
  <c r="U128" i="2"/>
  <c r="T128" i="2"/>
  <c r="S128" i="2"/>
  <c r="R128" i="2"/>
  <c r="Q128" i="2"/>
  <c r="P128" i="2"/>
  <c r="O128" i="2"/>
  <c r="N128" i="2"/>
  <c r="M128" i="2"/>
  <c r="L128" i="2"/>
  <c r="K128" i="2"/>
  <c r="J128" i="2"/>
  <c r="I128" i="2"/>
  <c r="H128" i="2"/>
  <c r="G128" i="2"/>
  <c r="E128" i="2"/>
  <c r="D128" i="2"/>
  <c r="C128" i="2"/>
  <c r="Y127" i="2"/>
  <c r="W127" i="2"/>
  <c r="V127" i="2"/>
  <c r="U127" i="2"/>
  <c r="T127" i="2"/>
  <c r="S127" i="2"/>
  <c r="R127" i="2"/>
  <c r="Q127" i="2"/>
  <c r="P127" i="2"/>
  <c r="O127" i="2"/>
  <c r="N127" i="2"/>
  <c r="M127" i="2"/>
  <c r="L127" i="2"/>
  <c r="K127" i="2"/>
  <c r="J127" i="2"/>
  <c r="I127" i="2"/>
  <c r="H127" i="2"/>
  <c r="G127" i="2"/>
  <c r="E127" i="2"/>
  <c r="D127" i="2"/>
  <c r="C127" i="2"/>
  <c r="X122" i="2"/>
  <c r="W122" i="2"/>
  <c r="V122" i="2"/>
  <c r="U122" i="2"/>
  <c r="T122" i="2"/>
  <c r="S122" i="2"/>
  <c r="R122" i="2"/>
  <c r="Q122" i="2"/>
  <c r="P122" i="2"/>
  <c r="O122" i="2"/>
  <c r="N122" i="2"/>
  <c r="M122" i="2"/>
  <c r="L122" i="2"/>
  <c r="K122" i="2"/>
  <c r="J122" i="2"/>
  <c r="I122" i="2"/>
  <c r="H122" i="2"/>
  <c r="G122" i="2"/>
  <c r="F122" i="2"/>
  <c r="E122" i="2"/>
  <c r="D122" i="2"/>
  <c r="C122" i="2"/>
  <c r="Y121" i="2"/>
  <c r="X121" i="2"/>
  <c r="W121" i="2"/>
  <c r="V121" i="2"/>
  <c r="U121" i="2"/>
  <c r="T121" i="2"/>
  <c r="S121" i="2"/>
  <c r="R121" i="2"/>
  <c r="Q121" i="2"/>
  <c r="P121" i="2"/>
  <c r="O121" i="2"/>
  <c r="N121" i="2"/>
  <c r="M121" i="2"/>
  <c r="L121" i="2"/>
  <c r="K121" i="2"/>
  <c r="J121" i="2"/>
  <c r="I121" i="2"/>
  <c r="H121" i="2"/>
  <c r="G121" i="2"/>
  <c r="F121" i="2"/>
  <c r="E121" i="2"/>
  <c r="D121" i="2"/>
  <c r="C121" i="2"/>
  <c r="Y116" i="2"/>
  <c r="X116" i="2"/>
  <c r="W116" i="2"/>
  <c r="V116" i="2"/>
  <c r="U116" i="2"/>
  <c r="T116" i="2"/>
  <c r="S116" i="2"/>
  <c r="R116" i="2"/>
  <c r="Q116" i="2"/>
  <c r="P116" i="2"/>
  <c r="O116" i="2"/>
  <c r="N116" i="2"/>
  <c r="M116" i="2"/>
  <c r="L116" i="2"/>
  <c r="K116" i="2"/>
  <c r="J116" i="2"/>
  <c r="I116" i="2"/>
  <c r="H116" i="2"/>
  <c r="G116" i="2"/>
  <c r="F116" i="2"/>
  <c r="E116" i="2"/>
  <c r="D116" i="2"/>
  <c r="C116" i="2"/>
  <c r="Y115" i="2"/>
  <c r="X115" i="2"/>
  <c r="W115" i="2"/>
  <c r="V115" i="2"/>
  <c r="U115" i="2"/>
  <c r="T115" i="2"/>
  <c r="S115" i="2"/>
  <c r="R115" i="2"/>
  <c r="Q115" i="2"/>
  <c r="P115" i="2"/>
  <c r="O115" i="2"/>
  <c r="N115" i="2"/>
  <c r="M115" i="2"/>
  <c r="L115" i="2"/>
  <c r="K115" i="2"/>
  <c r="J115" i="2"/>
  <c r="I115" i="2"/>
  <c r="H115" i="2"/>
  <c r="G115" i="2"/>
  <c r="F115" i="2"/>
  <c r="E115" i="2"/>
  <c r="D115" i="2"/>
  <c r="C115" i="2"/>
  <c r="Y110" i="2"/>
  <c r="X110" i="2"/>
  <c r="W110" i="2"/>
  <c r="V110" i="2"/>
  <c r="U110" i="2"/>
  <c r="T110" i="2"/>
  <c r="S110" i="2"/>
  <c r="R110" i="2"/>
  <c r="Q110" i="2"/>
  <c r="P110" i="2"/>
  <c r="O110" i="2"/>
  <c r="N110" i="2"/>
  <c r="M110" i="2"/>
  <c r="L110" i="2"/>
  <c r="K110" i="2"/>
  <c r="J110" i="2"/>
  <c r="I110" i="2"/>
  <c r="H110" i="2"/>
  <c r="G110" i="2"/>
  <c r="F110" i="2"/>
  <c r="E110" i="2"/>
  <c r="D110" i="2"/>
  <c r="C110" i="2"/>
  <c r="Y109" i="2"/>
  <c r="X109" i="2"/>
  <c r="W109" i="2"/>
  <c r="V109" i="2"/>
  <c r="U109" i="2"/>
  <c r="T109" i="2"/>
  <c r="S109" i="2"/>
  <c r="R109" i="2"/>
  <c r="Q109" i="2"/>
  <c r="P109" i="2"/>
  <c r="O109" i="2"/>
  <c r="N109" i="2"/>
  <c r="M109" i="2"/>
  <c r="L109" i="2"/>
  <c r="K109" i="2"/>
  <c r="J109" i="2"/>
  <c r="I109" i="2"/>
  <c r="H109" i="2"/>
  <c r="G109" i="2"/>
  <c r="F109" i="2"/>
  <c r="E109" i="2"/>
  <c r="D109" i="2"/>
  <c r="C109" i="2"/>
  <c r="Y104" i="2"/>
  <c r="X104" i="2"/>
  <c r="W104" i="2"/>
  <c r="V104" i="2"/>
  <c r="U104" i="2"/>
  <c r="T104" i="2"/>
  <c r="S104" i="2"/>
  <c r="R104" i="2"/>
  <c r="Q104" i="2"/>
  <c r="P104" i="2"/>
  <c r="O104" i="2"/>
  <c r="N104" i="2"/>
  <c r="M104" i="2"/>
  <c r="L104" i="2"/>
  <c r="K104" i="2"/>
  <c r="J104" i="2"/>
  <c r="I104" i="2"/>
  <c r="H104" i="2"/>
  <c r="G104" i="2"/>
  <c r="F104" i="2"/>
  <c r="E104" i="2"/>
  <c r="D104" i="2"/>
  <c r="C104" i="2"/>
  <c r="Y103" i="2"/>
  <c r="X103" i="2"/>
  <c r="W103" i="2"/>
  <c r="V103" i="2"/>
  <c r="U103" i="2"/>
  <c r="T103" i="2"/>
  <c r="S103" i="2"/>
  <c r="R103" i="2"/>
  <c r="Q103" i="2"/>
  <c r="P103" i="2"/>
  <c r="O103" i="2"/>
  <c r="N103" i="2"/>
  <c r="M103" i="2"/>
  <c r="L103" i="2"/>
  <c r="K103" i="2"/>
  <c r="J103" i="2"/>
  <c r="I103" i="2"/>
  <c r="H103" i="2"/>
  <c r="G103" i="2"/>
  <c r="F103" i="2"/>
  <c r="E103" i="2"/>
  <c r="D103" i="2"/>
  <c r="C103" i="2"/>
  <c r="Y97" i="2"/>
  <c r="X97" i="2"/>
  <c r="W97" i="2"/>
  <c r="V97" i="2"/>
  <c r="U97" i="2"/>
  <c r="T97" i="2"/>
  <c r="S97" i="2"/>
  <c r="R97" i="2"/>
  <c r="Q97" i="2"/>
  <c r="P97" i="2"/>
  <c r="O97" i="2"/>
  <c r="N97" i="2"/>
  <c r="M97" i="2"/>
  <c r="L97" i="2"/>
  <c r="K97" i="2"/>
  <c r="J97" i="2"/>
  <c r="I97" i="2"/>
  <c r="H97" i="2"/>
  <c r="G97" i="2"/>
  <c r="F97" i="2"/>
  <c r="E97" i="2"/>
  <c r="D97" i="2"/>
  <c r="C97" i="2"/>
  <c r="Y92" i="2"/>
  <c r="X92" i="2"/>
  <c r="W92" i="2"/>
  <c r="V92" i="2"/>
  <c r="U92" i="2"/>
  <c r="T92" i="2"/>
  <c r="S92" i="2"/>
  <c r="R92" i="2"/>
  <c r="Q92" i="2"/>
  <c r="P92" i="2"/>
  <c r="O92" i="2"/>
  <c r="N92" i="2"/>
  <c r="M92" i="2"/>
  <c r="L92" i="2"/>
  <c r="K92" i="2"/>
  <c r="J92" i="2"/>
  <c r="I92" i="2"/>
  <c r="H92" i="2"/>
  <c r="G92" i="2"/>
  <c r="F92" i="2"/>
  <c r="E92" i="2"/>
  <c r="D92" i="2"/>
  <c r="C92" i="2"/>
  <c r="Y91" i="2"/>
  <c r="X91" i="2"/>
  <c r="W91" i="2"/>
  <c r="V91" i="2"/>
  <c r="U91" i="2"/>
  <c r="T91" i="2"/>
  <c r="S91" i="2"/>
  <c r="R91" i="2"/>
  <c r="Q91" i="2"/>
  <c r="P91" i="2"/>
  <c r="O91" i="2"/>
  <c r="N91" i="2"/>
  <c r="M91" i="2"/>
  <c r="L91" i="2"/>
  <c r="K91" i="2"/>
  <c r="J91" i="2"/>
  <c r="I91" i="2"/>
  <c r="H91" i="2"/>
  <c r="G91" i="2"/>
  <c r="F91" i="2"/>
  <c r="E91" i="2"/>
  <c r="D91" i="2"/>
  <c r="C91" i="2"/>
  <c r="W86" i="2"/>
  <c r="V86" i="2"/>
  <c r="U86" i="2"/>
  <c r="T86" i="2"/>
  <c r="S86" i="2"/>
  <c r="R86" i="2"/>
  <c r="Q86" i="2"/>
  <c r="P86" i="2"/>
  <c r="O86" i="2"/>
  <c r="N86" i="2"/>
  <c r="M86" i="2"/>
  <c r="L86" i="2"/>
  <c r="K86" i="2"/>
  <c r="J86" i="2"/>
  <c r="I86" i="2"/>
  <c r="H86" i="2"/>
  <c r="G86" i="2"/>
  <c r="F86" i="2"/>
  <c r="E86" i="2"/>
  <c r="D86" i="2"/>
  <c r="C86" i="2"/>
  <c r="Y85" i="2"/>
  <c r="X85" i="2"/>
  <c r="W85" i="2"/>
  <c r="V85" i="2"/>
  <c r="U85" i="2"/>
  <c r="T85" i="2"/>
  <c r="S85" i="2"/>
  <c r="R85" i="2"/>
  <c r="Q85" i="2"/>
  <c r="P85" i="2"/>
  <c r="O85" i="2"/>
  <c r="N85" i="2"/>
  <c r="M85" i="2"/>
  <c r="L85" i="2"/>
  <c r="K85" i="2"/>
  <c r="J85" i="2"/>
  <c r="I85" i="2"/>
  <c r="H85" i="2"/>
  <c r="G85" i="2"/>
  <c r="F85" i="2"/>
  <c r="E85" i="2"/>
  <c r="D85" i="2"/>
  <c r="C85" i="2"/>
  <c r="Y80" i="2"/>
  <c r="X80" i="2"/>
  <c r="W80" i="2"/>
  <c r="V80" i="2"/>
  <c r="U80" i="2"/>
  <c r="T80" i="2"/>
  <c r="S80" i="2"/>
  <c r="R80" i="2"/>
  <c r="Q80" i="2"/>
  <c r="P80" i="2"/>
  <c r="O80" i="2"/>
  <c r="N80" i="2"/>
  <c r="M80" i="2"/>
  <c r="L80" i="2"/>
  <c r="K80" i="2"/>
  <c r="J80" i="2"/>
  <c r="I80" i="2"/>
  <c r="H80" i="2"/>
  <c r="G80" i="2"/>
  <c r="F80" i="2"/>
  <c r="E80" i="2"/>
  <c r="D80" i="2"/>
  <c r="C80" i="2"/>
  <c r="Y79" i="2"/>
  <c r="X79" i="2"/>
  <c r="W79" i="2"/>
  <c r="V79" i="2"/>
  <c r="U79" i="2"/>
  <c r="T79" i="2"/>
  <c r="S79" i="2"/>
  <c r="R79" i="2"/>
  <c r="Q79" i="2"/>
  <c r="P79" i="2"/>
  <c r="O79" i="2"/>
  <c r="N79" i="2"/>
  <c r="M79" i="2"/>
  <c r="L79" i="2"/>
  <c r="K79" i="2"/>
  <c r="J79" i="2"/>
  <c r="I79" i="2"/>
  <c r="H79" i="2"/>
  <c r="G79" i="2"/>
  <c r="F79" i="2"/>
  <c r="E79" i="2"/>
  <c r="D79" i="2"/>
  <c r="C79" i="2"/>
  <c r="Y74" i="2"/>
  <c r="X74" i="2"/>
  <c r="W74" i="2"/>
  <c r="V74" i="2"/>
  <c r="U74" i="2"/>
  <c r="T74" i="2"/>
  <c r="S74" i="2"/>
  <c r="R74" i="2"/>
  <c r="Q74" i="2"/>
  <c r="P74" i="2"/>
  <c r="O74" i="2"/>
  <c r="N74" i="2"/>
  <c r="M74" i="2"/>
  <c r="L74" i="2"/>
  <c r="K74" i="2"/>
  <c r="J74" i="2"/>
  <c r="I74" i="2"/>
  <c r="H74" i="2"/>
  <c r="G74" i="2"/>
  <c r="F74" i="2"/>
  <c r="E74" i="2"/>
  <c r="D74" i="2"/>
  <c r="C74" i="2"/>
  <c r="Y73" i="2"/>
  <c r="X73" i="2"/>
  <c r="W73" i="2"/>
  <c r="V73" i="2"/>
  <c r="U73" i="2"/>
  <c r="T73" i="2"/>
  <c r="S73" i="2"/>
  <c r="R73" i="2"/>
  <c r="Q73" i="2"/>
  <c r="P73" i="2"/>
  <c r="O73" i="2"/>
  <c r="N73" i="2"/>
  <c r="M73" i="2"/>
  <c r="L73" i="2"/>
  <c r="K73" i="2"/>
  <c r="J73" i="2"/>
  <c r="I73" i="2"/>
  <c r="H73" i="2"/>
  <c r="G73" i="2"/>
  <c r="F73" i="2"/>
  <c r="E73" i="2"/>
  <c r="D73" i="2"/>
  <c r="C73" i="2"/>
  <c r="Y68" i="2"/>
  <c r="X68" i="2"/>
  <c r="W68" i="2"/>
  <c r="V68" i="2"/>
  <c r="U68" i="2"/>
  <c r="T68" i="2"/>
  <c r="S68" i="2"/>
  <c r="R68" i="2"/>
  <c r="Q68" i="2"/>
  <c r="P68" i="2"/>
  <c r="O68" i="2"/>
  <c r="N68" i="2"/>
  <c r="M68" i="2"/>
  <c r="L68" i="2"/>
  <c r="K68" i="2"/>
  <c r="J68" i="2"/>
  <c r="I68" i="2"/>
  <c r="H68" i="2"/>
  <c r="G68" i="2"/>
  <c r="F68" i="2"/>
  <c r="E68" i="2"/>
  <c r="D68" i="2"/>
  <c r="C68" i="2"/>
  <c r="Y67" i="2"/>
  <c r="X67" i="2"/>
  <c r="W67" i="2"/>
  <c r="V67" i="2"/>
  <c r="U67" i="2"/>
  <c r="T67" i="2"/>
  <c r="S67" i="2"/>
  <c r="R67" i="2"/>
  <c r="Q67" i="2"/>
  <c r="P67" i="2"/>
  <c r="O67" i="2"/>
  <c r="N67" i="2"/>
  <c r="M67" i="2"/>
  <c r="L67" i="2"/>
  <c r="K67" i="2"/>
  <c r="J67" i="2"/>
  <c r="I67" i="2"/>
  <c r="H67" i="2"/>
  <c r="G67" i="2"/>
  <c r="F67" i="2"/>
  <c r="E67" i="2"/>
  <c r="D67" i="2"/>
  <c r="C67" i="2"/>
  <c r="Y62" i="2"/>
  <c r="X62" i="2"/>
  <c r="W62" i="2"/>
  <c r="V62" i="2"/>
  <c r="U62" i="2"/>
  <c r="T62" i="2"/>
  <c r="S62" i="2"/>
  <c r="R62" i="2"/>
  <c r="Q62" i="2"/>
  <c r="P62" i="2"/>
  <c r="O62" i="2"/>
  <c r="N62" i="2"/>
  <c r="M62" i="2"/>
  <c r="L62" i="2"/>
  <c r="K62" i="2"/>
  <c r="J62" i="2"/>
  <c r="I62" i="2"/>
  <c r="H62" i="2"/>
  <c r="G62" i="2"/>
  <c r="F62" i="2"/>
  <c r="E62" i="2"/>
  <c r="D62" i="2"/>
  <c r="C62" i="2"/>
  <c r="Y61" i="2"/>
  <c r="X61" i="2"/>
  <c r="W61" i="2"/>
  <c r="V61" i="2"/>
  <c r="U61" i="2"/>
  <c r="T61" i="2"/>
  <c r="S61" i="2"/>
  <c r="R61" i="2"/>
  <c r="Q61" i="2"/>
  <c r="P61" i="2"/>
  <c r="O61" i="2"/>
  <c r="N61" i="2"/>
  <c r="M61" i="2"/>
  <c r="L61" i="2"/>
  <c r="K61" i="2"/>
  <c r="J61" i="2"/>
  <c r="I61" i="2"/>
  <c r="H61" i="2"/>
  <c r="G61" i="2"/>
  <c r="F61" i="2"/>
  <c r="E61" i="2"/>
  <c r="D61" i="2"/>
  <c r="C61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Y55" i="2"/>
  <c r="X55" i="2"/>
  <c r="W55" i="2"/>
  <c r="V55" i="2"/>
  <c r="U55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G55" i="2"/>
  <c r="F55" i="2"/>
  <c r="E55" i="2"/>
  <c r="D55" i="2"/>
  <c r="C55" i="2"/>
  <c r="Y50" i="2"/>
  <c r="X50" i="2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F50" i="2"/>
  <c r="E50" i="2"/>
  <c r="D50" i="2"/>
  <c r="C50" i="2"/>
  <c r="Y49" i="2"/>
  <c r="X49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G49" i="2"/>
  <c r="F49" i="2"/>
  <c r="E49" i="2"/>
  <c r="D49" i="2"/>
  <c r="C49" i="2"/>
  <c r="Y44" i="2"/>
  <c r="X44" i="2"/>
  <c r="W44" i="2"/>
  <c r="V44" i="2"/>
  <c r="U44" i="2"/>
  <c r="T44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F44" i="2"/>
  <c r="E44" i="2"/>
  <c r="D44" i="2"/>
  <c r="C44" i="2"/>
  <c r="Y43" i="2"/>
  <c r="X43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F43" i="2"/>
  <c r="E43" i="2"/>
  <c r="D43" i="2"/>
  <c r="C43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Y20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AG121" i="2"/>
  <c r="AG122" i="2"/>
</calcChain>
</file>

<file path=xl/sharedStrings.xml><?xml version="1.0" encoding="utf-8"?>
<sst xmlns="http://schemas.openxmlformats.org/spreadsheetml/2006/main" count="847" uniqueCount="104">
  <si>
    <t>Total bovines</t>
  </si>
  <si>
    <t>FAO DATA</t>
  </si>
  <si>
    <t>EUROSTAT DATA</t>
  </si>
  <si>
    <t>SWINE</t>
  </si>
  <si>
    <t>SHEEP</t>
  </si>
  <si>
    <t>GOATS</t>
  </si>
  <si>
    <t>HORSES</t>
  </si>
  <si>
    <t>POULTRY (Chickens)</t>
  </si>
  <si>
    <t>MULES AND ASSES</t>
  </si>
  <si>
    <t>DAIRY CATTLE</t>
  </si>
  <si>
    <t>For the all livestock the differences are due to the fact that the values for the year X are allocated by FAO of year X-1, due to methodology used by FAO, and respectively NIS.</t>
  </si>
  <si>
    <t>Years</t>
  </si>
  <si>
    <t>Rye</t>
  </si>
  <si>
    <t>Wheat</t>
  </si>
  <si>
    <t>Barley and two row barley (Barley)</t>
  </si>
  <si>
    <t>Oats</t>
  </si>
  <si>
    <t>Maize</t>
  </si>
  <si>
    <t>Sorghum beans</t>
  </si>
  <si>
    <t>Rice</t>
  </si>
  <si>
    <t>Triticale</t>
  </si>
  <si>
    <t>Peas beans</t>
  </si>
  <si>
    <t>Dry beans</t>
  </si>
  <si>
    <t>Other leguminous for dry beans (Pulses,nes)</t>
  </si>
  <si>
    <t>Rape</t>
  </si>
  <si>
    <t>Flax for oil (Linsed)</t>
  </si>
  <si>
    <t>Flax for oil (Linseed)</t>
  </si>
  <si>
    <t>Soybeans</t>
  </si>
  <si>
    <t>Flax fibre-textile plants</t>
  </si>
  <si>
    <t xml:space="preserve">Other textile plants- cotton </t>
  </si>
  <si>
    <t>Tobacco</t>
  </si>
  <si>
    <t>Potatoes</t>
  </si>
  <si>
    <t>Sugar beet</t>
  </si>
  <si>
    <t>Tomatoes</t>
  </si>
  <si>
    <t>Dry onion</t>
  </si>
  <si>
    <t>Dry garlic</t>
  </si>
  <si>
    <t>Cabbage (Cabage and other cabage)</t>
  </si>
  <si>
    <t>Cultivated mushrooms</t>
  </si>
  <si>
    <t>Vegetables</t>
  </si>
  <si>
    <t>Amount of N- fertilizer applied (tonnes/year)</t>
  </si>
  <si>
    <t>DATA FAO</t>
  </si>
  <si>
    <t>DATA EUROSTAT</t>
  </si>
  <si>
    <t>Data used for the calculation of the emissions</t>
  </si>
  <si>
    <t>Diferrence to FAO</t>
  </si>
  <si>
    <t>Diferrence to EUROSTAT</t>
  </si>
  <si>
    <t>Conclusions</t>
  </si>
  <si>
    <t>4.A- ENTERIC FERMENTATION -CH4</t>
  </si>
  <si>
    <t>4B. MANURE MANAGEMENT</t>
  </si>
  <si>
    <t>CH4</t>
  </si>
  <si>
    <t>N2O</t>
  </si>
  <si>
    <t>Dairy cattle</t>
  </si>
  <si>
    <t>Romania</t>
  </si>
  <si>
    <t>Hungary</t>
  </si>
  <si>
    <t>Bulgaria</t>
  </si>
  <si>
    <t>Default IPCC 1996 value</t>
  </si>
  <si>
    <t>Default IPCC GPG 2000 value</t>
  </si>
  <si>
    <t>Non - Dairy cattle</t>
  </si>
  <si>
    <t>Buffalo</t>
  </si>
  <si>
    <t>Sheep</t>
  </si>
  <si>
    <t>Goats</t>
  </si>
  <si>
    <t>Swine</t>
  </si>
  <si>
    <t>Horses</t>
  </si>
  <si>
    <t>Mules and asses</t>
  </si>
  <si>
    <t>Nex (kg N/head/yr)</t>
  </si>
  <si>
    <t>NA</t>
  </si>
  <si>
    <t>Poultry</t>
  </si>
  <si>
    <t>NE</t>
  </si>
  <si>
    <t>IEF (kg/head/yr)</t>
  </si>
  <si>
    <t>GE (MJ/head/day)</t>
  </si>
  <si>
    <t>VS (kg dm/head/day)</t>
  </si>
  <si>
    <t>The green color  indicates the default parameters</t>
  </si>
  <si>
    <t>The gray color indicates the absence of values</t>
  </si>
  <si>
    <t>Usually most values enroll  in the  defaults range values used by Member States. An analysis will be implemented.</t>
  </si>
  <si>
    <t>Legend</t>
  </si>
  <si>
    <t>12,773.3 </t>
  </si>
  <si>
    <t>12,964.2 </t>
  </si>
  <si>
    <t xml:space="preserve">F </t>
  </si>
  <si>
    <r>
      <rPr>
        <b/>
        <i/>
        <sz val="10"/>
        <rFont val="Times New Roman"/>
        <family val="1"/>
      </rPr>
      <t>Cereal grains</t>
    </r>
    <r>
      <rPr>
        <b/>
        <sz val="10"/>
        <rFont val="Times New Roman"/>
        <family val="1"/>
      </rPr>
      <t xml:space="preserve"> </t>
    </r>
  </si>
  <si>
    <r>
      <rPr>
        <b/>
        <i/>
        <sz val="10"/>
        <rFont val="Times New Roman"/>
        <family val="1"/>
      </rPr>
      <t>Sunflower (</t>
    </r>
    <r>
      <rPr>
        <b/>
        <sz val="10"/>
        <rFont val="Times New Roman"/>
        <family val="1"/>
      </rPr>
      <t>Floarea soarelui)</t>
    </r>
  </si>
  <si>
    <t>Default IPCC 2006 value</t>
  </si>
  <si>
    <t>RABBITS</t>
  </si>
  <si>
    <t>Default IEF IPCC 2006 value</t>
  </si>
  <si>
    <t>Mature - Dairy cattle</t>
  </si>
  <si>
    <t>Other Mature  cattle</t>
  </si>
  <si>
    <t>Growing cattle</t>
  </si>
  <si>
    <t>Mature Dairy cattle</t>
  </si>
  <si>
    <t>Other Mature cattle</t>
  </si>
  <si>
    <t>Rabbits</t>
  </si>
  <si>
    <t>In database EUROSTAT are not found data on synthetic fertilizers which is applied  agricultural soils for 1989-2008.</t>
  </si>
  <si>
    <t>NO</t>
  </si>
  <si>
    <t>NIR DATA</t>
  </si>
  <si>
    <t xml:space="preserve">FAO- NIR DIFFERENCE </t>
  </si>
  <si>
    <t xml:space="preserve">EUROSTAT- NIR DIFFERENCE </t>
  </si>
  <si>
    <t>NID DATA</t>
  </si>
  <si>
    <t xml:space="preserve">FAO- NID DIFFERENCE </t>
  </si>
  <si>
    <t xml:space="preserve">EUROSTAT- NID DIFFERENCE </t>
  </si>
  <si>
    <t xml:space="preserve">EUROSTAT- NID  DIFFERENCE </t>
  </si>
  <si>
    <t xml:space="preserve">FAO-NID DIFFERENCE </t>
  </si>
  <si>
    <t>NID  DATA</t>
  </si>
  <si>
    <t>FAO - NID</t>
  </si>
  <si>
    <t>EUROSTAT - NID</t>
  </si>
  <si>
    <t>Following the implementation of a analysis, differences between FAO and NID data have been identified; these are due to specific elements on data manipulation at the National Institute for Statistics (NID and FAO data provider) and FAO level.</t>
  </si>
  <si>
    <r>
      <rPr>
        <b/>
        <sz val="10"/>
        <rFont val="Times New Roman"/>
        <family val="1"/>
      </rPr>
      <t>Following the implementation of a analysis, differences under  208.37%</t>
    </r>
    <r>
      <rPr>
        <b/>
        <sz val="10"/>
        <color theme="1"/>
        <rFont val="Times New Roman"/>
        <family val="1"/>
      </rPr>
      <t xml:space="preserve">  approximatively have been identified between Eurostat and NID data; the differences are due to specific elements on data manipulation at the National Institute for Statistics (NID and EUROSTAT data provider) and EUROSTAT level.</t>
    </r>
  </si>
  <si>
    <r>
      <t>Following the implementation of a analysis, differences under  4</t>
    </r>
    <r>
      <rPr>
        <b/>
        <sz val="11"/>
        <rFont val="Calibri"/>
        <family val="2"/>
        <scheme val="minor"/>
      </rPr>
      <t>.61%</t>
    </r>
    <r>
      <rPr>
        <b/>
        <sz val="11"/>
        <color theme="1"/>
        <rFont val="Calibri"/>
        <family val="2"/>
        <scheme val="minor"/>
      </rPr>
      <t xml:space="preserve"> approximatively have been identified between Eurostat and NIR data; the differences are due to specific elements on data manipulation at the National Institute for Statistics (NID and EUROSTAT data provider) and EUROSTAT level.</t>
    </r>
  </si>
  <si>
    <t xml:space="preserve">Comparing the N-synthetic fertilizer consumption applied to agricultural soils NID, FAO  data, there is differences of 73%.   The comparison could only be implemented for 1989-2020 period. For 2021, 2022, 2023 there is not the data in the FAO data base.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</si>
</sst>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00"/>
    <numFmt numFmtId="165" formatCode="#,##0.0"/>
    <numFmt numFmtId="166" formatCode="_-* #,##0.00\ _F_-;\-* #,##0.00\ _F_-;_-* &quot;-&quot;??\ _F_-;_-@_-"/>
  </numFmts>
  <fonts count="1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0"/>
      <color rgb="FF333333"/>
      <name val="Times New Roman"/>
      <family val="1"/>
    </font>
    <font>
      <sz val="10"/>
      <color theme="1"/>
      <name val="Times New Roman"/>
      <family val="1"/>
    </font>
    <font>
      <sz val="10"/>
      <color rgb="FF333333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8"/>
      <color rgb="FF333333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sz val="12"/>
      <name val="Times New Roman"/>
      <family val="1"/>
    </font>
    <font>
      <u/>
      <sz val="11"/>
      <color theme="10"/>
      <name val="Calibri"/>
      <family val="2"/>
      <charset val="204"/>
      <scheme val="minor"/>
    </font>
    <font>
      <u/>
      <sz val="10"/>
      <color theme="10"/>
      <name val="Arial"/>
      <family val="2"/>
      <charset val="238"/>
    </font>
    <font>
      <sz val="10"/>
      <name val="Arial"/>
      <family val="2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38"/>
    </font>
    <font>
      <sz val="10"/>
      <name val="Arial"/>
      <family val="2"/>
      <charset val="204"/>
    </font>
    <font>
      <sz val="8"/>
      <name val="Helvetica"/>
      <family val="2"/>
    </font>
    <font>
      <b/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0"/>
      <color indexed="8"/>
      <name val="Times New Roman"/>
      <family val="1"/>
    </font>
    <font>
      <sz val="10"/>
      <color theme="1"/>
      <name val="Times New Roman"/>
      <family val="1"/>
      <charset val="238"/>
    </font>
    <font>
      <sz val="10"/>
      <color rgb="FFFF0000"/>
      <name val="Times New Roman"/>
      <family val="1"/>
    </font>
    <font>
      <sz val="10"/>
      <color indexed="8"/>
      <name val="Arial"/>
      <family val="2"/>
      <charset val="238"/>
    </font>
    <font>
      <b/>
      <sz val="1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Times New Roman"/>
      <family val="1"/>
    </font>
    <font>
      <b/>
      <sz val="10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sz val="10"/>
      <color rgb="FF08A933"/>
      <name val="Times New Roman"/>
      <family val="1"/>
    </font>
    <font>
      <b/>
      <sz val="10"/>
      <color rgb="FF333333"/>
      <name val="Times New Roman"/>
      <family val="1"/>
    </font>
    <font>
      <b/>
      <sz val="10"/>
      <name val="Times New Roman"/>
      <family val="1"/>
    </font>
    <font>
      <b/>
      <sz val="10"/>
      <name val="Times New Roman"/>
      <family val="1"/>
      <charset val="238"/>
    </font>
    <font>
      <sz val="10"/>
      <name val="Calibri"/>
      <family val="2"/>
      <scheme val="minor"/>
    </font>
    <font>
      <b/>
      <sz val="11"/>
      <name val="Times New Roman"/>
      <family val="1"/>
      <charset val="238"/>
    </font>
    <font>
      <sz val="11"/>
      <name val="Calibri"/>
      <family val="2"/>
      <scheme val="minor"/>
    </font>
    <font>
      <sz val="9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i/>
      <sz val="10"/>
      <name val="Times New Roman"/>
      <family val="1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i/>
      <sz val="10"/>
      <name val="Times New Roman"/>
      <family val="1"/>
    </font>
    <font>
      <sz val="1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rgb="FF0000FF"/>
      <name val="Times New Roman"/>
      <family val="1"/>
      <charset val="238"/>
    </font>
    <font>
      <b/>
      <sz val="11"/>
      <name val="Times New Roman"/>
      <family val="1"/>
    </font>
    <font>
      <b/>
      <sz val="11"/>
      <color rgb="FF0000FF"/>
      <name val="Times New Roman"/>
      <family val="1"/>
    </font>
    <font>
      <sz val="10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sz val="11"/>
      <color rgb="FF3F3F76"/>
      <name val="Calibri"/>
      <family val="2"/>
      <scheme val="minor"/>
    </font>
    <font>
      <sz val="9"/>
      <color indexed="8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1"/>
      <color indexed="8"/>
      <name val="Calibri"/>
      <family val="2"/>
    </font>
    <font>
      <b/>
      <sz val="10"/>
      <name val="Arial"/>
      <family val="2"/>
    </font>
    <font>
      <u/>
      <sz val="10"/>
      <color indexed="12"/>
      <name val="Times New Roman"/>
      <family val="1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</font>
    <font>
      <sz val="11"/>
      <color indexed="9"/>
      <name val="Calibri"/>
      <family val="2"/>
      <charset val="186"/>
    </font>
    <font>
      <b/>
      <sz val="11"/>
      <color indexed="63"/>
      <name val="Calibri"/>
      <family val="2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sz val="8"/>
      <name val="Helvetica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sz val="11"/>
      <color indexed="17"/>
      <name val="Calibri"/>
      <family val="2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sz val="10"/>
      <name val="Arial"/>
      <family val="2"/>
      <charset val="186"/>
    </font>
    <font>
      <b/>
      <sz val="11"/>
      <color indexed="63"/>
      <name val="Calibri"/>
      <family val="2"/>
      <charset val="186"/>
    </font>
    <font>
      <sz val="11"/>
      <color indexed="20"/>
      <name val="Calibri"/>
      <family val="2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indexed="10"/>
      <name val="Calibri"/>
      <family val="2"/>
      <charset val="186"/>
    </font>
    <font>
      <b/>
      <sz val="11"/>
      <color indexed="9"/>
      <name val="Calibri"/>
      <family val="2"/>
    </font>
    <font>
      <u/>
      <sz val="10"/>
      <color indexed="12"/>
      <name val="Times New Roman"/>
      <family val="1"/>
      <charset val="186"/>
    </font>
    <font>
      <b/>
      <sz val="11"/>
      <color indexed="12"/>
      <name val="Arial"/>
      <family val="2"/>
      <charset val="204"/>
    </font>
    <font>
      <sz val="9"/>
      <color rgb="FF666666"/>
      <name val="Lucida Console"/>
      <family val="3"/>
      <charset val="238"/>
    </font>
    <font>
      <sz val="9"/>
      <name val="Times New Roman"/>
      <family val="1"/>
      <charset val="238"/>
    </font>
    <font>
      <sz val="8"/>
      <color indexed="8"/>
      <name val="Arial"/>
      <family val="2"/>
      <charset val="238"/>
    </font>
    <font>
      <sz val="10"/>
      <color rgb="FF666666"/>
      <name val="Times New Roman"/>
      <family val="1"/>
    </font>
    <font>
      <sz val="9"/>
      <color rgb="FF666666"/>
      <name val="Lucida Console"/>
      <family val="3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10"/>
      <color theme="1"/>
      <name val="Times New Roman"/>
      <family val="1"/>
    </font>
    <font>
      <sz val="11"/>
      <color rgb="FFFF0000"/>
      <name val="Times New Roman"/>
      <family val="1"/>
    </font>
    <font>
      <sz val="11"/>
      <color rgb="FF000000"/>
      <name val="Verdana"/>
      <family val="2"/>
    </font>
    <font>
      <sz val="11"/>
      <color rgb="FF000000"/>
      <name val="Times New Roman"/>
      <family val="1"/>
    </font>
    <font>
      <u/>
      <sz val="10"/>
      <color rgb="FF0563C1"/>
      <name val="Times New Roman"/>
      <family val="1"/>
    </font>
    <font>
      <sz val="9"/>
      <color rgb="FF000000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i/>
      <sz val="8"/>
      <color rgb="FFFF0000"/>
      <name val="Calibri"/>
      <family val="2"/>
    </font>
    <font>
      <b/>
      <sz val="15"/>
      <color rgb="FFFF0000"/>
      <name val="Arial"/>
      <family val="2"/>
    </font>
  </fonts>
  <fills count="4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darkTrellis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C99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AFAFA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rgb="FF969696"/>
        <bgColor rgb="FF8497B0"/>
      </patternFill>
    </fill>
    <fill>
      <patternFill patternType="solid">
        <fgColor rgb="FFFFFFFF"/>
        <bgColor rgb="FFE7E6E6"/>
      </patternFill>
    </fill>
    <fill>
      <patternFill patternType="solid">
        <fgColor rgb="FFFFCC99"/>
        <bgColor rgb="FFE7E6E6"/>
      </patternFill>
    </fill>
    <fill>
      <patternFill patternType="solid">
        <fgColor rgb="FFCCFFFF"/>
        <bgColor rgb="FFCCFFFF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CCCCCC"/>
      </right>
      <top/>
      <bottom/>
      <diagonal/>
    </border>
    <border>
      <left style="medium">
        <color rgb="FFCCCCCC"/>
      </left>
      <right style="medium">
        <color rgb="FFCCCCCC"/>
      </right>
      <top/>
      <bottom/>
      <diagonal/>
    </border>
    <border>
      <left style="medium">
        <color rgb="FFCCCCCC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Dashed">
        <color rgb="FFCDCDCD"/>
      </left>
      <right/>
      <top/>
      <bottom/>
      <diagonal/>
    </border>
    <border>
      <left/>
      <right style="medium">
        <color rgb="FFCCCCCC"/>
      </right>
      <top/>
      <bottom style="medium">
        <color rgb="FFCCCCCC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055">
    <xf numFmtId="0" fontId="0" fillId="0" borderId="0"/>
    <xf numFmtId="49" fontId="14" fillId="0" borderId="1" applyNumberFormat="0" applyFont="0" applyFill="0" applyBorder="0" applyProtection="0">
      <alignment horizontal="left" vertical="center" indent="2"/>
    </xf>
    <xf numFmtId="49" fontId="14" fillId="0" borderId="2" applyNumberFormat="0" applyFont="0" applyFill="0" applyBorder="0" applyProtection="0">
      <alignment horizontal="left" vertical="center" indent="5"/>
    </xf>
    <xf numFmtId="4" fontId="15" fillId="0" borderId="3" applyFill="0" applyBorder="0" applyProtection="0">
      <alignment horizontal="right" vertical="center"/>
    </xf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9" fillId="5" borderId="1"/>
    <xf numFmtId="0" fontId="20" fillId="0" borderId="0"/>
    <xf numFmtId="0" fontId="21" fillId="0" borderId="0"/>
    <xf numFmtId="0" fontId="19" fillId="0" borderId="0"/>
    <xf numFmtId="4" fontId="19" fillId="0" borderId="0"/>
    <xf numFmtId="4" fontId="19" fillId="0" borderId="0"/>
    <xf numFmtId="4" fontId="19" fillId="0" borderId="0"/>
    <xf numFmtId="4" fontId="19" fillId="0" borderId="0"/>
    <xf numFmtId="4" fontId="19" fillId="0" borderId="0"/>
    <xf numFmtId="4" fontId="19" fillId="0" borderId="0"/>
    <xf numFmtId="4" fontId="19" fillId="0" borderId="0"/>
    <xf numFmtId="4" fontId="19" fillId="0" borderId="0"/>
    <xf numFmtId="4" fontId="19" fillId="0" borderId="0"/>
    <xf numFmtId="4" fontId="19" fillId="0" borderId="0"/>
    <xf numFmtId="4" fontId="19" fillId="0" borderId="0"/>
    <xf numFmtId="4" fontId="19" fillId="0" borderId="0"/>
    <xf numFmtId="4" fontId="19" fillId="0" borderId="0"/>
    <xf numFmtId="4" fontId="19" fillId="0" borderId="0"/>
    <xf numFmtId="4" fontId="19" fillId="0" borderId="0"/>
    <xf numFmtId="4" fontId="19" fillId="0" borderId="0"/>
    <xf numFmtId="4" fontId="19" fillId="0" borderId="0"/>
    <xf numFmtId="4" fontId="19" fillId="0" borderId="0"/>
    <xf numFmtId="4" fontId="19" fillId="0" borderId="0"/>
    <xf numFmtId="4" fontId="19" fillId="0" borderId="0"/>
    <xf numFmtId="4" fontId="19" fillId="0" borderId="0"/>
    <xf numFmtId="4" fontId="19" fillId="0" borderId="0"/>
    <xf numFmtId="4" fontId="19" fillId="0" borderId="0"/>
    <xf numFmtId="4" fontId="19" fillId="0" borderId="0"/>
    <xf numFmtId="4" fontId="19" fillId="0" borderId="0"/>
    <xf numFmtId="4" fontId="19" fillId="0" borderId="0"/>
    <xf numFmtId="4" fontId="19" fillId="0" borderId="0"/>
    <xf numFmtId="4" fontId="19" fillId="0" borderId="0"/>
    <xf numFmtId="4" fontId="19" fillId="0" borderId="0"/>
    <xf numFmtId="4" fontId="19" fillId="0" borderId="0"/>
    <xf numFmtId="4" fontId="19" fillId="0" borderId="0"/>
    <xf numFmtId="0" fontId="19" fillId="0" borderId="0"/>
    <xf numFmtId="4" fontId="22" fillId="0" borderId="0"/>
    <xf numFmtId="4" fontId="23" fillId="0" borderId="0"/>
    <xf numFmtId="4" fontId="23" fillId="0" borderId="0"/>
    <xf numFmtId="4" fontId="23" fillId="0" borderId="0"/>
    <xf numFmtId="4" fontId="23" fillId="0" borderId="0"/>
    <xf numFmtId="4" fontId="23" fillId="0" borderId="0"/>
    <xf numFmtId="4" fontId="23" fillId="0" borderId="0"/>
    <xf numFmtId="4" fontId="23" fillId="0" borderId="0"/>
    <xf numFmtId="4" fontId="23" fillId="0" borderId="0"/>
    <xf numFmtId="4" fontId="23" fillId="0" borderId="0"/>
    <xf numFmtId="4" fontId="23" fillId="0" borderId="0"/>
    <xf numFmtId="0" fontId="19" fillId="0" borderId="0"/>
    <xf numFmtId="4" fontId="23" fillId="0" borderId="0"/>
    <xf numFmtId="4" fontId="23" fillId="0" borderId="0"/>
    <xf numFmtId="4" fontId="23" fillId="0" borderId="0"/>
    <xf numFmtId="4" fontId="23" fillId="0" borderId="0"/>
    <xf numFmtId="4" fontId="23" fillId="0" borderId="0"/>
    <xf numFmtId="4" fontId="23" fillId="0" borderId="0"/>
    <xf numFmtId="4" fontId="23" fillId="0" borderId="0"/>
    <xf numFmtId="4" fontId="23" fillId="0" borderId="0"/>
    <xf numFmtId="4" fontId="23" fillId="0" borderId="0"/>
    <xf numFmtId="4" fontId="23" fillId="0" borderId="0"/>
    <xf numFmtId="0" fontId="19" fillId="0" borderId="0"/>
    <xf numFmtId="4" fontId="23" fillId="0" borderId="0"/>
    <xf numFmtId="4" fontId="23" fillId="0" borderId="0"/>
    <xf numFmtId="4" fontId="23" fillId="0" borderId="0"/>
    <xf numFmtId="4" fontId="23" fillId="0" borderId="0"/>
    <xf numFmtId="4" fontId="23" fillId="0" borderId="0"/>
    <xf numFmtId="4" fontId="23" fillId="0" borderId="0"/>
    <xf numFmtId="4" fontId="23" fillId="0" borderId="0"/>
    <xf numFmtId="4" fontId="23" fillId="0" borderId="0"/>
    <xf numFmtId="4" fontId="23" fillId="0" borderId="0"/>
    <xf numFmtId="4" fontId="23" fillId="0" borderId="0"/>
    <xf numFmtId="0" fontId="1" fillId="0" borderId="0"/>
    <xf numFmtId="0" fontId="22" fillId="0" borderId="0"/>
    <xf numFmtId="0" fontId="21" fillId="0" borderId="0"/>
    <xf numFmtId="0" fontId="19" fillId="0" borderId="0"/>
    <xf numFmtId="0" fontId="20" fillId="0" borderId="0"/>
    <xf numFmtId="0" fontId="19" fillId="0" borderId="0"/>
    <xf numFmtId="0" fontId="21" fillId="0" borderId="0"/>
    <xf numFmtId="0" fontId="20" fillId="0" borderId="0"/>
    <xf numFmtId="0" fontId="20" fillId="0" borderId="0"/>
    <xf numFmtId="4" fontId="14" fillId="0" borderId="1" applyFill="0" applyBorder="0" applyProtection="0">
      <alignment horizontal="right" vertical="center"/>
    </xf>
    <xf numFmtId="49" fontId="15" fillId="0" borderId="1" applyNumberFormat="0" applyFill="0" applyBorder="0" applyProtection="0">
      <alignment horizontal="left" vertical="center"/>
    </xf>
    <xf numFmtId="0" fontId="14" fillId="0" borderId="1" applyNumberFormat="0" applyFill="0" applyAlignment="0" applyProtection="0"/>
    <xf numFmtId="0" fontId="24" fillId="6" borderId="0" applyNumberFormat="0" applyFont="0" applyBorder="0" applyAlignment="0" applyProtection="0"/>
    <xf numFmtId="4" fontId="23" fillId="0" borderId="0"/>
    <xf numFmtId="164" fontId="14" fillId="7" borderId="1" applyNumberFormat="0" applyFont="0" applyBorder="0" applyAlignment="0" applyProtection="0">
      <alignment horizontal="right" vertical="center"/>
    </xf>
    <xf numFmtId="4" fontId="19" fillId="0" borderId="0"/>
    <xf numFmtId="4" fontId="23" fillId="0" borderId="0"/>
    <xf numFmtId="4" fontId="23" fillId="0" borderId="0"/>
    <xf numFmtId="4" fontId="19" fillId="0" borderId="0"/>
    <xf numFmtId="4" fontId="19" fillId="0" borderId="0"/>
    <xf numFmtId="4" fontId="23" fillId="0" borderId="0"/>
    <xf numFmtId="4" fontId="19" fillId="0" borderId="0"/>
    <xf numFmtId="4" fontId="23" fillId="0" borderId="0"/>
    <xf numFmtId="4" fontId="19" fillId="0" borderId="0"/>
    <xf numFmtId="4" fontId="19" fillId="0" borderId="0"/>
    <xf numFmtId="4" fontId="23" fillId="0" borderId="0"/>
    <xf numFmtId="4" fontId="19" fillId="0" borderId="0"/>
    <xf numFmtId="4" fontId="23" fillId="0" borderId="0"/>
    <xf numFmtId="4" fontId="19" fillId="0" borderId="0"/>
    <xf numFmtId="4" fontId="23" fillId="0" borderId="0"/>
    <xf numFmtId="4" fontId="19" fillId="0" borderId="0"/>
    <xf numFmtId="4" fontId="23" fillId="0" borderId="0"/>
    <xf numFmtId="4" fontId="19" fillId="0" borderId="0"/>
    <xf numFmtId="4" fontId="19" fillId="0" borderId="0"/>
    <xf numFmtId="4" fontId="23" fillId="0" borderId="0"/>
    <xf numFmtId="4" fontId="19" fillId="0" borderId="0"/>
    <xf numFmtId="4" fontId="23" fillId="0" borderId="0"/>
    <xf numFmtId="4" fontId="19" fillId="0" borderId="0"/>
    <xf numFmtId="4" fontId="23" fillId="0" borderId="0"/>
    <xf numFmtId="4" fontId="19" fillId="0" borderId="0"/>
    <xf numFmtId="4" fontId="23" fillId="0" borderId="0"/>
    <xf numFmtId="4" fontId="23" fillId="0" borderId="0"/>
    <xf numFmtId="4" fontId="19" fillId="0" borderId="0"/>
    <xf numFmtId="4" fontId="23" fillId="0" borderId="0"/>
    <xf numFmtId="4" fontId="19" fillId="0" borderId="0"/>
    <xf numFmtId="4" fontId="23" fillId="0" borderId="0"/>
    <xf numFmtId="4" fontId="19" fillId="0" borderId="0"/>
    <xf numFmtId="4" fontId="23" fillId="0" borderId="0"/>
    <xf numFmtId="4" fontId="19" fillId="0" borderId="0"/>
    <xf numFmtId="4" fontId="23" fillId="0" borderId="0"/>
    <xf numFmtId="4" fontId="19" fillId="0" borderId="0"/>
    <xf numFmtId="4" fontId="23" fillId="0" borderId="0"/>
    <xf numFmtId="4" fontId="19" fillId="0" borderId="0"/>
    <xf numFmtId="4" fontId="23" fillId="0" borderId="0"/>
    <xf numFmtId="4" fontId="23" fillId="0" borderId="0"/>
    <xf numFmtId="4" fontId="19" fillId="0" borderId="0"/>
    <xf numFmtId="4" fontId="23" fillId="0" borderId="0"/>
    <xf numFmtId="4" fontId="23" fillId="0" borderId="0"/>
    <xf numFmtId="4" fontId="19" fillId="0" borderId="0"/>
    <xf numFmtId="4" fontId="19" fillId="0" borderId="0"/>
    <xf numFmtId="4" fontId="23" fillId="0" borderId="0"/>
    <xf numFmtId="4" fontId="19" fillId="0" borderId="0"/>
    <xf numFmtId="4" fontId="23" fillId="0" borderId="0"/>
    <xf numFmtId="0" fontId="61" fillId="0" borderId="0" applyNumberFormat="0">
      <alignment horizontal="right"/>
    </xf>
    <xf numFmtId="0" fontId="15" fillId="0" borderId="0" applyNumberFormat="0" applyFill="0" applyBorder="0" applyProtection="0">
      <alignment horizontal="left" vertical="center"/>
    </xf>
    <xf numFmtId="0" fontId="14" fillId="14" borderId="0" applyBorder="0">
      <alignment horizontal="right" vertical="center"/>
    </xf>
    <xf numFmtId="0" fontId="14" fillId="14" borderId="31">
      <alignment horizontal="right" vertical="center"/>
    </xf>
    <xf numFmtId="0" fontId="19" fillId="0" borderId="0" applyNumberFormat="0" applyFont="0" applyFill="0" applyBorder="0" applyProtection="0">
      <alignment horizontal="left" vertical="center" indent="2"/>
    </xf>
    <xf numFmtId="0" fontId="14" fillId="14" borderId="0" applyBorder="0">
      <alignment horizontal="right" vertical="center"/>
    </xf>
    <xf numFmtId="0" fontId="14" fillId="0" borderId="0" applyBorder="0">
      <alignment horizontal="right" vertical="center"/>
    </xf>
    <xf numFmtId="0" fontId="19" fillId="6" borderId="0" applyNumberFormat="0" applyFont="0" applyBorder="0" applyAlignment="0" applyProtection="0"/>
    <xf numFmtId="0" fontId="19" fillId="0" borderId="0" applyNumberFormat="0" applyFont="0" applyFill="0" applyBorder="0" applyProtection="0">
      <alignment horizontal="left" vertical="center" indent="5"/>
    </xf>
    <xf numFmtId="0" fontId="61" fillId="0" borderId="23">
      <alignment horizontal="left" vertical="top" wrapText="1"/>
    </xf>
    <xf numFmtId="0" fontId="61" fillId="15" borderId="1">
      <alignment horizontal="right" vertical="center"/>
    </xf>
    <xf numFmtId="0" fontId="61" fillId="15" borderId="1">
      <alignment horizontal="right" vertical="center"/>
    </xf>
    <xf numFmtId="0" fontId="14" fillId="0" borderId="33">
      <alignment horizontal="left" vertical="center" wrapText="1" indent="2"/>
    </xf>
    <xf numFmtId="0" fontId="61" fillId="15" borderId="6">
      <alignment horizontal="right" vertical="center"/>
    </xf>
    <xf numFmtId="0" fontId="14" fillId="0" borderId="1">
      <alignment horizontal="right" vertical="center"/>
    </xf>
    <xf numFmtId="0" fontId="19" fillId="0" borderId="32"/>
    <xf numFmtId="0" fontId="63" fillId="14" borderId="1">
      <alignment horizontal="right" vertical="center"/>
    </xf>
    <xf numFmtId="0" fontId="14" fillId="6" borderId="1"/>
    <xf numFmtId="0" fontId="61" fillId="14" borderId="1">
      <alignment horizontal="right" vertical="center"/>
    </xf>
    <xf numFmtId="0" fontId="61" fillId="14" borderId="13">
      <alignment horizontal="right" vertical="center"/>
    </xf>
    <xf numFmtId="0" fontId="14" fillId="0" borderId="13">
      <alignment horizontal="right" vertical="center"/>
    </xf>
    <xf numFmtId="0" fontId="61" fillId="15" borderId="12">
      <alignment horizontal="right" vertical="center"/>
    </xf>
    <xf numFmtId="0" fontId="61" fillId="15" borderId="13">
      <alignment horizontal="right" vertical="center"/>
    </xf>
    <xf numFmtId="0" fontId="61" fillId="15" borderId="2">
      <alignment horizontal="right" vertical="center"/>
    </xf>
    <xf numFmtId="4" fontId="61" fillId="15" borderId="6">
      <alignment horizontal="right" vertical="center"/>
    </xf>
    <xf numFmtId="0" fontId="14" fillId="0" borderId="0"/>
    <xf numFmtId="0" fontId="14" fillId="17" borderId="1">
      <alignment horizontal="right" vertical="center"/>
    </xf>
    <xf numFmtId="0" fontId="14" fillId="17" borderId="0" applyBorder="0">
      <alignment horizontal="right" vertical="center"/>
    </xf>
    <xf numFmtId="0" fontId="19" fillId="0" borderId="0"/>
    <xf numFmtId="4" fontId="19" fillId="0" borderId="0"/>
    <xf numFmtId="4" fontId="14" fillId="0" borderId="1" applyFill="0" applyBorder="0" applyProtection="0">
      <alignment horizontal="right" vertical="center"/>
    </xf>
    <xf numFmtId="0" fontId="66" fillId="0" borderId="0" applyNumberFormat="0" applyFill="0" applyBorder="0" applyAlignment="0" applyProtection="0"/>
    <xf numFmtId="0" fontId="14" fillId="0" borderId="0"/>
    <xf numFmtId="4" fontId="19" fillId="0" borderId="0"/>
    <xf numFmtId="0" fontId="1" fillId="0" borderId="0"/>
    <xf numFmtId="0" fontId="14" fillId="6" borderId="1"/>
    <xf numFmtId="0" fontId="61" fillId="15" borderId="6">
      <alignment horizontal="right" vertical="center"/>
    </xf>
    <xf numFmtId="0" fontId="14" fillId="0" borderId="1" applyNumberFormat="0" applyFill="0" applyAlignment="0" applyProtection="0"/>
    <xf numFmtId="0" fontId="61" fillId="15" borderId="1">
      <alignment horizontal="right" vertical="center"/>
    </xf>
    <xf numFmtId="0" fontId="61" fillId="15" borderId="1">
      <alignment horizontal="right" vertical="center"/>
    </xf>
    <xf numFmtId="0" fontId="14" fillId="0" borderId="33">
      <alignment horizontal="left" vertical="center" wrapText="1" indent="2"/>
    </xf>
    <xf numFmtId="0" fontId="61" fillId="15" borderId="6">
      <alignment horizontal="right" vertical="center"/>
    </xf>
    <xf numFmtId="0" fontId="14" fillId="0" borderId="1">
      <alignment horizontal="right" vertical="center"/>
    </xf>
    <xf numFmtId="0" fontId="63" fillId="14" borderId="1">
      <alignment horizontal="right" vertical="center"/>
    </xf>
    <xf numFmtId="0" fontId="14" fillId="6" borderId="1"/>
    <xf numFmtId="0" fontId="61" fillId="14" borderId="1">
      <alignment horizontal="right" vertical="center"/>
    </xf>
    <xf numFmtId="0" fontId="61" fillId="15" borderId="2">
      <alignment horizontal="right" vertical="center"/>
    </xf>
    <xf numFmtId="0" fontId="65" fillId="0" borderId="0" applyNumberFormat="0" applyFill="0" applyBorder="0" applyAlignment="0" applyProtection="0"/>
    <xf numFmtId="0" fontId="64" fillId="18" borderId="0" applyNumberFormat="0" applyBorder="0" applyAlignment="0" applyProtection="0"/>
    <xf numFmtId="0" fontId="64" fillId="19" borderId="0" applyNumberFormat="0" applyBorder="0" applyAlignment="0" applyProtection="0"/>
    <xf numFmtId="0" fontId="64" fillId="20" borderId="0" applyNumberFormat="0" applyBorder="0" applyAlignment="0" applyProtection="0"/>
    <xf numFmtId="0" fontId="64" fillId="21" borderId="0" applyNumberFormat="0" applyBorder="0" applyAlignment="0" applyProtection="0"/>
    <xf numFmtId="0" fontId="64" fillId="22" borderId="0" applyNumberFormat="0" applyBorder="0" applyAlignment="0" applyProtection="0"/>
    <xf numFmtId="0" fontId="64" fillId="23" borderId="0" applyNumberFormat="0" applyBorder="0" applyAlignment="0" applyProtection="0"/>
    <xf numFmtId="0" fontId="67" fillId="18" borderId="0" applyNumberFormat="0" applyBorder="0" applyAlignment="0" applyProtection="0"/>
    <xf numFmtId="0" fontId="67" fillId="19" borderId="0" applyNumberFormat="0" applyBorder="0" applyAlignment="0" applyProtection="0"/>
    <xf numFmtId="0" fontId="67" fillId="20" borderId="0" applyNumberFormat="0" applyBorder="0" applyAlignment="0" applyProtection="0"/>
    <xf numFmtId="0" fontId="67" fillId="21" borderId="0" applyNumberFormat="0" applyBorder="0" applyAlignment="0" applyProtection="0"/>
    <xf numFmtId="0" fontId="67" fillId="22" borderId="0" applyNumberFormat="0" applyBorder="0" applyAlignment="0" applyProtection="0"/>
    <xf numFmtId="0" fontId="67" fillId="23" borderId="0" applyNumberFormat="0" applyBorder="0" applyAlignment="0" applyProtection="0"/>
    <xf numFmtId="0" fontId="19" fillId="0" borderId="0" applyNumberFormat="0" applyFont="0" applyFill="0" applyBorder="0" applyProtection="0">
      <alignment horizontal="left" vertical="center" indent="2"/>
    </xf>
    <xf numFmtId="0" fontId="19" fillId="0" borderId="0" applyNumberFormat="0" applyFont="0" applyFill="0" applyBorder="0" applyProtection="0">
      <alignment horizontal="left" vertical="center" indent="2"/>
    </xf>
    <xf numFmtId="49" fontId="14" fillId="0" borderId="1" applyNumberFormat="0" applyFont="0" applyFill="0" applyBorder="0" applyProtection="0">
      <alignment horizontal="left" vertical="center" indent="2"/>
    </xf>
    <xf numFmtId="0" fontId="64" fillId="24" borderId="0" applyNumberFormat="0" applyBorder="0" applyAlignment="0" applyProtection="0"/>
    <xf numFmtId="0" fontId="64" fillId="25" borderId="0" applyNumberFormat="0" applyBorder="0" applyAlignment="0" applyProtection="0"/>
    <xf numFmtId="0" fontId="64" fillId="26" borderId="0" applyNumberFormat="0" applyBorder="0" applyAlignment="0" applyProtection="0"/>
    <xf numFmtId="0" fontId="64" fillId="21" borderId="0" applyNumberFormat="0" applyBorder="0" applyAlignment="0" applyProtection="0"/>
    <xf numFmtId="0" fontId="64" fillId="24" borderId="0" applyNumberFormat="0" applyBorder="0" applyAlignment="0" applyProtection="0"/>
    <xf numFmtId="0" fontId="64" fillId="27" borderId="0" applyNumberFormat="0" applyBorder="0" applyAlignment="0" applyProtection="0"/>
    <xf numFmtId="0" fontId="67" fillId="24" borderId="0" applyNumberFormat="0" applyBorder="0" applyAlignment="0" applyProtection="0"/>
    <xf numFmtId="0" fontId="67" fillId="25" borderId="0" applyNumberFormat="0" applyBorder="0" applyAlignment="0" applyProtection="0"/>
    <xf numFmtId="0" fontId="67" fillId="26" borderId="0" applyNumberFormat="0" applyBorder="0" applyAlignment="0" applyProtection="0"/>
    <xf numFmtId="0" fontId="67" fillId="21" borderId="0" applyNumberFormat="0" applyBorder="0" applyAlignment="0" applyProtection="0"/>
    <xf numFmtId="0" fontId="67" fillId="24" borderId="0" applyNumberFormat="0" applyBorder="0" applyAlignment="0" applyProtection="0"/>
    <xf numFmtId="0" fontId="67" fillId="27" borderId="0" applyNumberFormat="0" applyBorder="0" applyAlignment="0" applyProtection="0"/>
    <xf numFmtId="0" fontId="19" fillId="0" borderId="0" applyNumberFormat="0" applyFont="0" applyFill="0" applyBorder="0" applyProtection="0">
      <alignment horizontal="left" vertical="center" indent="5"/>
    </xf>
    <xf numFmtId="0" fontId="19" fillId="0" borderId="0" applyNumberFormat="0" applyFont="0" applyFill="0" applyBorder="0" applyProtection="0">
      <alignment horizontal="left" vertical="center" indent="5"/>
    </xf>
    <xf numFmtId="49" fontId="14" fillId="0" borderId="2" applyNumberFormat="0" applyFont="0" applyFill="0" applyBorder="0" applyProtection="0">
      <alignment horizontal="left" vertical="center" indent="5"/>
    </xf>
    <xf numFmtId="0" fontId="68" fillId="28" borderId="0" applyNumberFormat="0" applyBorder="0" applyAlignment="0" applyProtection="0"/>
    <xf numFmtId="0" fontId="68" fillId="25" borderId="0" applyNumberFormat="0" applyBorder="0" applyAlignment="0" applyProtection="0"/>
    <xf numFmtId="0" fontId="68" fillId="26" borderId="0" applyNumberFormat="0" applyBorder="0" applyAlignment="0" applyProtection="0"/>
    <xf numFmtId="0" fontId="68" fillId="29" borderId="0" applyNumberFormat="0" applyBorder="0" applyAlignment="0" applyProtection="0"/>
    <xf numFmtId="0" fontId="68" fillId="30" borderId="0" applyNumberFormat="0" applyBorder="0" applyAlignment="0" applyProtection="0"/>
    <xf numFmtId="0" fontId="68" fillId="31" borderId="0" applyNumberFormat="0" applyBorder="0" applyAlignment="0" applyProtection="0"/>
    <xf numFmtId="0" fontId="69" fillId="28" borderId="0" applyNumberFormat="0" applyBorder="0" applyAlignment="0" applyProtection="0"/>
    <xf numFmtId="0" fontId="69" fillId="25" borderId="0" applyNumberFormat="0" applyBorder="0" applyAlignment="0" applyProtection="0"/>
    <xf numFmtId="0" fontId="69" fillId="26" borderId="0" applyNumberFormat="0" applyBorder="0" applyAlignment="0" applyProtection="0"/>
    <xf numFmtId="0" fontId="69" fillId="29" borderId="0" applyNumberFormat="0" applyBorder="0" applyAlignment="0" applyProtection="0"/>
    <xf numFmtId="0" fontId="69" fillId="30" borderId="0" applyNumberFormat="0" applyBorder="0" applyAlignment="0" applyProtection="0"/>
    <xf numFmtId="0" fontId="69" fillId="31" borderId="0" applyNumberFormat="0" applyBorder="0" applyAlignment="0" applyProtection="0"/>
    <xf numFmtId="0" fontId="69" fillId="32" borderId="0" applyNumberFormat="0" applyBorder="0" applyAlignment="0" applyProtection="0"/>
    <xf numFmtId="0" fontId="69" fillId="33" borderId="0" applyNumberFormat="0" applyBorder="0" applyAlignment="0" applyProtection="0"/>
    <xf numFmtId="0" fontId="69" fillId="34" borderId="0" applyNumberFormat="0" applyBorder="0" applyAlignment="0" applyProtection="0"/>
    <xf numFmtId="0" fontId="69" fillId="29" borderId="0" applyNumberFormat="0" applyBorder="0" applyAlignment="0" applyProtection="0"/>
    <xf numFmtId="0" fontId="69" fillId="30" borderId="0" applyNumberFormat="0" applyBorder="0" applyAlignment="0" applyProtection="0"/>
    <xf numFmtId="0" fontId="69" fillId="35" borderId="0" applyNumberFormat="0" applyBorder="0" applyAlignment="0" applyProtection="0"/>
    <xf numFmtId="0" fontId="15" fillId="17" borderId="0" applyBorder="0" applyAlignment="0"/>
    <xf numFmtId="4" fontId="15" fillId="17" borderId="0" applyBorder="0" applyAlignment="0"/>
    <xf numFmtId="4" fontId="14" fillId="17" borderId="0" applyBorder="0">
      <alignment horizontal="right" vertical="center"/>
    </xf>
    <xf numFmtId="4" fontId="14" fillId="14" borderId="0" applyBorder="0">
      <alignment horizontal="right" vertical="center"/>
    </xf>
    <xf numFmtId="4" fontId="14" fillId="14" borderId="0" applyBorder="0">
      <alignment horizontal="right" vertical="center"/>
    </xf>
    <xf numFmtId="4" fontId="61" fillId="14" borderId="1">
      <alignment horizontal="right" vertical="center"/>
    </xf>
    <xf numFmtId="4" fontId="63" fillId="14" borderId="1">
      <alignment horizontal="right" vertical="center"/>
    </xf>
    <xf numFmtId="4" fontId="61" fillId="15" borderId="1">
      <alignment horizontal="right" vertical="center"/>
    </xf>
    <xf numFmtId="4" fontId="61" fillId="15" borderId="1">
      <alignment horizontal="right" vertical="center"/>
    </xf>
    <xf numFmtId="4" fontId="61" fillId="15" borderId="2">
      <alignment horizontal="right" vertical="center"/>
    </xf>
    <xf numFmtId="4" fontId="61" fillId="15" borderId="6">
      <alignment horizontal="right" vertical="center"/>
    </xf>
    <xf numFmtId="0" fontId="68" fillId="32" borderId="0" applyNumberFormat="0" applyBorder="0" applyAlignment="0" applyProtection="0"/>
    <xf numFmtId="0" fontId="68" fillId="33" borderId="0" applyNumberFormat="0" applyBorder="0" applyAlignment="0" applyProtection="0"/>
    <xf numFmtId="0" fontId="68" fillId="34" borderId="0" applyNumberFormat="0" applyBorder="0" applyAlignment="0" applyProtection="0"/>
    <xf numFmtId="0" fontId="68" fillId="29" borderId="0" applyNumberFormat="0" applyBorder="0" applyAlignment="0" applyProtection="0"/>
    <xf numFmtId="0" fontId="68" fillId="30" borderId="0" applyNumberFormat="0" applyBorder="0" applyAlignment="0" applyProtection="0"/>
    <xf numFmtId="0" fontId="68" fillId="35" borderId="0" applyNumberFormat="0" applyBorder="0" applyAlignment="0" applyProtection="0"/>
    <xf numFmtId="0" fontId="70" fillId="36" borderId="34" applyNumberFormat="0" applyAlignment="0" applyProtection="0"/>
    <xf numFmtId="0" fontId="71" fillId="19" borderId="0" applyNumberFormat="0" applyBorder="0" applyAlignment="0" applyProtection="0"/>
    <xf numFmtId="0" fontId="72" fillId="36" borderId="35" applyNumberFormat="0" applyAlignment="0" applyProtection="0"/>
    <xf numFmtId="0" fontId="73" fillId="36" borderId="35" applyNumberFormat="0" applyAlignment="0" applyProtection="0"/>
    <xf numFmtId="0" fontId="74" fillId="37" borderId="36" applyNumberFormat="0" applyAlignment="0" applyProtection="0"/>
    <xf numFmtId="43" fontId="64" fillId="0" borderId="0" applyFont="0" applyFill="0" applyBorder="0" applyAlignment="0" applyProtection="0"/>
    <xf numFmtId="166" fontId="75" fillId="0" borderId="0" applyFont="0" applyFill="0" applyBorder="0" applyAlignment="0" applyProtection="0"/>
    <xf numFmtId="43" fontId="64" fillId="0" borderId="0" applyFont="0" applyFill="0" applyBorder="0" applyAlignment="0" applyProtection="0"/>
    <xf numFmtId="0" fontId="14" fillId="15" borderId="33">
      <alignment horizontal="left" vertical="center" wrapText="1" indent="2"/>
    </xf>
    <xf numFmtId="0" fontId="14" fillId="14" borderId="2">
      <alignment horizontal="left" vertical="center"/>
    </xf>
    <xf numFmtId="0" fontId="76" fillId="23" borderId="35" applyNumberFormat="0" applyAlignment="0" applyProtection="0"/>
    <xf numFmtId="0" fontId="77" fillId="0" borderId="37" applyNumberFormat="0" applyFill="0" applyAlignment="0" applyProtection="0"/>
    <xf numFmtId="0" fontId="78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80" fillId="20" borderId="0" applyNumberFormat="0" applyBorder="0" applyAlignment="0" applyProtection="0"/>
    <xf numFmtId="0" fontId="81" fillId="20" borderId="0" applyNumberFormat="0" applyBorder="0" applyAlignment="0" applyProtection="0"/>
    <xf numFmtId="0" fontId="82" fillId="0" borderId="38" applyNumberFormat="0" applyFill="0" applyAlignment="0" applyProtection="0"/>
    <xf numFmtId="0" fontId="83" fillId="0" borderId="39" applyNumberFormat="0" applyFill="0" applyAlignment="0" applyProtection="0"/>
    <xf numFmtId="0" fontId="84" fillId="0" borderId="40" applyNumberFormat="0" applyFill="0" applyAlignment="0" applyProtection="0"/>
    <xf numFmtId="0" fontId="84" fillId="0" borderId="0" applyNumberFormat="0" applyFill="0" applyBorder="0" applyAlignment="0" applyProtection="0"/>
    <xf numFmtId="0" fontId="85" fillId="23" borderId="35" applyNumberFormat="0" applyAlignment="0" applyProtection="0"/>
    <xf numFmtId="4" fontId="14" fillId="0" borderId="0" applyBorder="0">
      <alignment horizontal="right" vertical="center"/>
    </xf>
    <xf numFmtId="0" fontId="14" fillId="0" borderId="4">
      <alignment horizontal="right" vertical="center"/>
    </xf>
    <xf numFmtId="4" fontId="14" fillId="0" borderId="1">
      <alignment horizontal="right" vertical="center"/>
    </xf>
    <xf numFmtId="1" fontId="62" fillId="14" borderId="0" applyBorder="0">
      <alignment horizontal="right" vertical="center"/>
    </xf>
    <xf numFmtId="0" fontId="86" fillId="0" borderId="41" applyNumberFormat="0" applyFill="0" applyAlignment="0" applyProtection="0"/>
    <xf numFmtId="0" fontId="87" fillId="38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75" fillId="0" borderId="0"/>
    <xf numFmtId="4" fontId="88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4" fontId="14" fillId="0" borderId="0" applyFill="0" applyBorder="0" applyProtection="0">
      <alignment horizontal="right" vertical="center"/>
    </xf>
    <xf numFmtId="4" fontId="14" fillId="0" borderId="0" applyFill="0" applyBorder="0" applyProtection="0">
      <alignment horizontal="right" vertical="center"/>
    </xf>
    <xf numFmtId="4" fontId="14" fillId="0" borderId="1" applyFill="0" applyBorder="0" applyProtection="0">
      <alignment horizontal="right" vertical="center"/>
    </xf>
    <xf numFmtId="0" fontId="15" fillId="0" borderId="0" applyNumberFormat="0" applyFill="0" applyBorder="0" applyProtection="0">
      <alignment horizontal="left" vertical="center"/>
    </xf>
    <xf numFmtId="49" fontId="15" fillId="0" borderId="1" applyNumberFormat="0" applyFill="0" applyBorder="0" applyProtection="0">
      <alignment horizontal="left" vertical="center"/>
    </xf>
    <xf numFmtId="0" fontId="19" fillId="6" borderId="0" applyNumberFormat="0" applyFont="0" applyBorder="0" applyAlignment="0" applyProtection="0"/>
    <xf numFmtId="4" fontId="19" fillId="6" borderId="0" applyNumberFormat="0" applyFont="0" applyBorder="0" applyAlignment="0" applyProtection="0"/>
    <xf numFmtId="4" fontId="19" fillId="6" borderId="0" applyNumberFormat="0" applyFont="0" applyBorder="0" applyAlignment="0" applyProtection="0"/>
    <xf numFmtId="0" fontId="19" fillId="6" borderId="0" applyNumberFormat="0" applyFont="0" applyBorder="0" applyAlignment="0" applyProtection="0"/>
    <xf numFmtId="0" fontId="19" fillId="6" borderId="0" applyNumberFormat="0" applyFont="0" applyBorder="0" applyAlignment="0" applyProtection="0"/>
    <xf numFmtId="0" fontId="75" fillId="16" borderId="0" applyNumberFormat="0" applyFont="0" applyBorder="0" applyAlignment="0" applyProtection="0"/>
    <xf numFmtId="0" fontId="67" fillId="39" borderId="42" applyNumberFormat="0" applyFont="0" applyAlignment="0" applyProtection="0"/>
    <xf numFmtId="0" fontId="19" fillId="39" borderId="42" applyNumberFormat="0" applyFont="0" applyAlignment="0" applyProtection="0"/>
    <xf numFmtId="0" fontId="89" fillId="36" borderId="34" applyNumberFormat="0" applyAlignment="0" applyProtection="0"/>
    <xf numFmtId="9" fontId="75" fillId="0" borderId="0" applyFont="0" applyFill="0" applyBorder="0" applyAlignment="0" applyProtection="0"/>
    <xf numFmtId="0" fontId="90" fillId="19" borderId="0" applyNumberFormat="0" applyBorder="0" applyAlignment="0" applyProtection="0"/>
    <xf numFmtId="4" fontId="14" fillId="6" borderId="1"/>
    <xf numFmtId="0" fontId="14" fillId="6" borderId="13"/>
    <xf numFmtId="0" fontId="91" fillId="0" borderId="0" applyNumberFormat="0" applyFill="0" applyBorder="0" applyAlignment="0" applyProtection="0"/>
    <xf numFmtId="0" fontId="92" fillId="0" borderId="37" applyNumberFormat="0" applyFill="0" applyAlignment="0" applyProtection="0"/>
    <xf numFmtId="0" fontId="93" fillId="0" borderId="0" applyNumberFormat="0" applyFill="0" applyBorder="0" applyAlignment="0" applyProtection="0"/>
    <xf numFmtId="0" fontId="94" fillId="0" borderId="38" applyNumberFormat="0" applyFill="0" applyAlignment="0" applyProtection="0"/>
    <xf numFmtId="0" fontId="95" fillId="0" borderId="39" applyNumberFormat="0" applyFill="0" applyAlignment="0" applyProtection="0"/>
    <xf numFmtId="0" fontId="96" fillId="0" borderId="40" applyNumberFormat="0" applyFill="0" applyAlignment="0" applyProtection="0"/>
    <xf numFmtId="0" fontId="96" fillId="0" borderId="0" applyNumberFormat="0" applyFill="0" applyBorder="0" applyAlignment="0" applyProtection="0"/>
    <xf numFmtId="0" fontId="97" fillId="0" borderId="41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37" borderId="36" applyNumberFormat="0" applyAlignment="0" applyProtection="0"/>
    <xf numFmtId="0" fontId="66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9" fillId="0" borderId="0" applyNumberFormat="0" applyFont="0" applyFill="0" applyBorder="0" applyProtection="0">
      <alignment horizontal="left" vertical="center"/>
    </xf>
    <xf numFmtId="0" fontId="14" fillId="14" borderId="0" applyBorder="0">
      <alignment horizontal="right" vertical="center"/>
    </xf>
    <xf numFmtId="0" fontId="14" fillId="14" borderId="0" applyBorder="0">
      <alignment horizontal="right" vertical="center"/>
    </xf>
    <xf numFmtId="0" fontId="14" fillId="0" borderId="0" applyBorder="0">
      <alignment horizontal="right" vertical="center"/>
    </xf>
    <xf numFmtId="4" fontId="19" fillId="0" borderId="0"/>
    <xf numFmtId="0" fontId="23" fillId="0" borderId="0"/>
    <xf numFmtId="0" fontId="19" fillId="6" borderId="0" applyNumberFormat="0" applyFont="0" applyBorder="0" applyAlignment="0" applyProtection="0"/>
    <xf numFmtId="0" fontId="66" fillId="0" borderId="0" applyNumberFormat="0" applyFill="0" applyBorder="0" applyAlignment="0" applyProtection="0"/>
    <xf numFmtId="0" fontId="67" fillId="18" borderId="0" applyNumberFormat="0" applyBorder="0" applyAlignment="0" applyProtection="0"/>
    <xf numFmtId="0" fontId="67" fillId="19" borderId="0" applyNumberFormat="0" applyBorder="0" applyAlignment="0" applyProtection="0"/>
    <xf numFmtId="0" fontId="67" fillId="20" borderId="0" applyNumberFormat="0" applyBorder="0" applyAlignment="0" applyProtection="0"/>
    <xf numFmtId="0" fontId="67" fillId="21" borderId="0" applyNumberFormat="0" applyBorder="0" applyAlignment="0" applyProtection="0"/>
    <xf numFmtId="0" fontId="67" fillId="22" borderId="0" applyNumberFormat="0" applyBorder="0" applyAlignment="0" applyProtection="0"/>
    <xf numFmtId="0" fontId="67" fillId="23" borderId="0" applyNumberFormat="0" applyBorder="0" applyAlignment="0" applyProtection="0"/>
    <xf numFmtId="0" fontId="67" fillId="24" borderId="0" applyNumberFormat="0" applyBorder="0" applyAlignment="0" applyProtection="0"/>
    <xf numFmtId="0" fontId="67" fillId="25" borderId="0" applyNumberFormat="0" applyBorder="0" applyAlignment="0" applyProtection="0"/>
    <xf numFmtId="0" fontId="67" fillId="26" borderId="0" applyNumberFormat="0" applyBorder="0" applyAlignment="0" applyProtection="0"/>
    <xf numFmtId="0" fontId="67" fillId="21" borderId="0" applyNumberFormat="0" applyBorder="0" applyAlignment="0" applyProtection="0"/>
    <xf numFmtId="0" fontId="67" fillId="24" borderId="0" applyNumberFormat="0" applyBorder="0" applyAlignment="0" applyProtection="0"/>
    <xf numFmtId="0" fontId="67" fillId="27" borderId="0" applyNumberFormat="0" applyBorder="0" applyAlignment="0" applyProtection="0"/>
    <xf numFmtId="0" fontId="69" fillId="28" borderId="0" applyNumberFormat="0" applyBorder="0" applyAlignment="0" applyProtection="0"/>
    <xf numFmtId="0" fontId="69" fillId="25" borderId="0" applyNumberFormat="0" applyBorder="0" applyAlignment="0" applyProtection="0"/>
    <xf numFmtId="0" fontId="69" fillId="26" borderId="0" applyNumberFormat="0" applyBorder="0" applyAlignment="0" applyProtection="0"/>
    <xf numFmtId="0" fontId="69" fillId="29" borderId="0" applyNumberFormat="0" applyBorder="0" applyAlignment="0" applyProtection="0"/>
    <xf numFmtId="0" fontId="69" fillId="30" borderId="0" applyNumberFormat="0" applyBorder="0" applyAlignment="0" applyProtection="0"/>
    <xf numFmtId="0" fontId="69" fillId="31" borderId="0" applyNumberFormat="0" applyBorder="0" applyAlignment="0" applyProtection="0"/>
    <xf numFmtId="0" fontId="69" fillId="32" borderId="0" applyNumberFormat="0" applyBorder="0" applyAlignment="0" applyProtection="0"/>
    <xf numFmtId="0" fontId="69" fillId="33" borderId="0" applyNumberFormat="0" applyBorder="0" applyAlignment="0" applyProtection="0"/>
    <xf numFmtId="0" fontId="69" fillId="34" borderId="0" applyNumberFormat="0" applyBorder="0" applyAlignment="0" applyProtection="0"/>
    <xf numFmtId="0" fontId="69" fillId="29" borderId="0" applyNumberFormat="0" applyBorder="0" applyAlignment="0" applyProtection="0"/>
    <xf numFmtId="0" fontId="69" fillId="30" borderId="0" applyNumberFormat="0" applyBorder="0" applyAlignment="0" applyProtection="0"/>
    <xf numFmtId="0" fontId="69" fillId="35" borderId="0" applyNumberFormat="0" applyBorder="0" applyAlignment="0" applyProtection="0"/>
    <xf numFmtId="0" fontId="71" fillId="19" borderId="0" applyNumberFormat="0" applyBorder="0" applyAlignment="0" applyProtection="0"/>
    <xf numFmtId="0" fontId="73" fillId="36" borderId="35" applyNumberFormat="0" applyAlignment="0" applyProtection="0"/>
    <xf numFmtId="0" fontId="74" fillId="37" borderId="36" applyNumberFormat="0" applyAlignment="0" applyProtection="0"/>
    <xf numFmtId="0" fontId="79" fillId="0" borderId="0" applyNumberFormat="0" applyFill="0" applyBorder="0" applyAlignment="0" applyProtection="0"/>
    <xf numFmtId="0" fontId="80" fillId="20" borderId="0" applyNumberFormat="0" applyBorder="0" applyAlignment="0" applyProtection="0"/>
    <xf numFmtId="0" fontId="82" fillId="0" borderId="38" applyNumberFormat="0" applyFill="0" applyAlignment="0" applyProtection="0"/>
    <xf numFmtId="0" fontId="83" fillId="0" borderId="39" applyNumberFormat="0" applyFill="0" applyAlignment="0" applyProtection="0"/>
    <xf numFmtId="0" fontId="84" fillId="0" borderId="40" applyNumberFormat="0" applyFill="0" applyAlignment="0" applyProtection="0"/>
    <xf numFmtId="0" fontId="84" fillId="0" borderId="0" applyNumberFormat="0" applyFill="0" applyBorder="0" applyAlignment="0" applyProtection="0"/>
    <xf numFmtId="0" fontId="85" fillId="23" borderId="35" applyNumberFormat="0" applyAlignment="0" applyProtection="0"/>
    <xf numFmtId="0" fontId="86" fillId="0" borderId="41" applyNumberFormat="0" applyFill="0" applyAlignment="0" applyProtection="0"/>
    <xf numFmtId="0" fontId="87" fillId="38" borderId="0" applyNumberFormat="0" applyBorder="0" applyAlignment="0" applyProtection="0"/>
    <xf numFmtId="0" fontId="19" fillId="0" borderId="0"/>
    <xf numFmtId="0" fontId="67" fillId="39" borderId="42" applyNumberFormat="0" applyFont="0" applyAlignment="0" applyProtection="0"/>
    <xf numFmtId="0" fontId="89" fillId="36" borderId="34" applyNumberFormat="0" applyAlignment="0" applyProtection="0"/>
    <xf numFmtId="0" fontId="91" fillId="0" borderId="0" applyNumberFormat="0" applyFill="0" applyBorder="0" applyAlignment="0" applyProtection="0"/>
    <xf numFmtId="0" fontId="92" fillId="0" borderId="37" applyNumberFormat="0" applyFill="0" applyAlignment="0" applyProtection="0"/>
    <xf numFmtId="0" fontId="99" fillId="0" borderId="0" applyNumberFormat="0" applyFill="0" applyBorder="0" applyAlignment="0" applyProtection="0"/>
    <xf numFmtId="0" fontId="102" fillId="0" borderId="0">
      <alignment horizontal="left" vertical="center" indent="1"/>
    </xf>
    <xf numFmtId="0" fontId="67" fillId="18" borderId="0" applyNumberFormat="0" applyBorder="0" applyAlignment="0" applyProtection="0"/>
    <xf numFmtId="0" fontId="67" fillId="19" borderId="0" applyNumberFormat="0" applyBorder="0" applyAlignment="0" applyProtection="0"/>
    <xf numFmtId="0" fontId="67" fillId="20" borderId="0" applyNumberFormat="0" applyBorder="0" applyAlignment="0" applyProtection="0"/>
    <xf numFmtId="0" fontId="67" fillId="21" borderId="0" applyNumberFormat="0" applyBorder="0" applyAlignment="0" applyProtection="0"/>
    <xf numFmtId="0" fontId="67" fillId="22" borderId="0" applyNumberFormat="0" applyBorder="0" applyAlignment="0" applyProtection="0"/>
    <xf numFmtId="0" fontId="67" fillId="23" borderId="0" applyNumberFormat="0" applyBorder="0" applyAlignment="0" applyProtection="0"/>
    <xf numFmtId="0" fontId="67" fillId="24" borderId="0" applyNumberFormat="0" applyBorder="0" applyAlignment="0" applyProtection="0"/>
    <xf numFmtId="0" fontId="67" fillId="25" borderId="0" applyNumberFormat="0" applyBorder="0" applyAlignment="0" applyProtection="0"/>
    <xf numFmtId="0" fontId="67" fillId="26" borderId="0" applyNumberFormat="0" applyBorder="0" applyAlignment="0" applyProtection="0"/>
    <xf numFmtId="0" fontId="67" fillId="21" borderId="0" applyNumberFormat="0" applyBorder="0" applyAlignment="0" applyProtection="0"/>
    <xf numFmtId="0" fontId="67" fillId="24" borderId="0" applyNumberFormat="0" applyBorder="0" applyAlignment="0" applyProtection="0"/>
    <xf numFmtId="0" fontId="67" fillId="27" borderId="0" applyNumberFormat="0" applyBorder="0" applyAlignment="0" applyProtection="0"/>
    <xf numFmtId="0" fontId="69" fillId="28" borderId="0" applyNumberFormat="0" applyBorder="0" applyAlignment="0" applyProtection="0"/>
    <xf numFmtId="0" fontId="69" fillId="25" borderId="0" applyNumberFormat="0" applyBorder="0" applyAlignment="0" applyProtection="0"/>
    <xf numFmtId="0" fontId="69" fillId="26" borderId="0" applyNumberFormat="0" applyBorder="0" applyAlignment="0" applyProtection="0"/>
    <xf numFmtId="0" fontId="69" fillId="29" borderId="0" applyNumberFormat="0" applyBorder="0" applyAlignment="0" applyProtection="0"/>
    <xf numFmtId="0" fontId="69" fillId="30" borderId="0" applyNumberFormat="0" applyBorder="0" applyAlignment="0" applyProtection="0"/>
    <xf numFmtId="0" fontId="69" fillId="31" borderId="0" applyNumberFormat="0" applyBorder="0" applyAlignment="0" applyProtection="0"/>
    <xf numFmtId="0" fontId="61" fillId="14" borderId="43">
      <alignment horizontal="right" vertical="center"/>
    </xf>
    <xf numFmtId="4" fontId="61" fillId="14" borderId="43">
      <alignment horizontal="right" vertical="center"/>
    </xf>
    <xf numFmtId="0" fontId="63" fillId="14" borderId="43">
      <alignment horizontal="right" vertical="center"/>
    </xf>
    <xf numFmtId="4" fontId="63" fillId="14" borderId="43">
      <alignment horizontal="right" vertical="center"/>
    </xf>
    <xf numFmtId="0" fontId="61" fillId="15" borderId="43">
      <alignment horizontal="right" vertical="center"/>
    </xf>
    <xf numFmtId="4" fontId="61" fillId="15" borderId="43">
      <alignment horizontal="right" vertical="center"/>
    </xf>
    <xf numFmtId="0" fontId="61" fillId="15" borderId="43">
      <alignment horizontal="right" vertical="center"/>
    </xf>
    <xf numFmtId="4" fontId="61" fillId="15" borderId="43">
      <alignment horizontal="right" vertical="center"/>
    </xf>
    <xf numFmtId="0" fontId="61" fillId="15" borderId="44">
      <alignment horizontal="right" vertical="center"/>
    </xf>
    <xf numFmtId="4" fontId="61" fillId="15" borderId="44">
      <alignment horizontal="right" vertical="center"/>
    </xf>
    <xf numFmtId="0" fontId="61" fillId="15" borderId="45">
      <alignment horizontal="right" vertical="center"/>
    </xf>
    <xf numFmtId="4" fontId="61" fillId="15" borderId="45">
      <alignment horizontal="right" vertical="center"/>
    </xf>
    <xf numFmtId="0" fontId="73" fillId="36" borderId="35" applyNumberFormat="0" applyAlignment="0" applyProtection="0"/>
    <xf numFmtId="0" fontId="14" fillId="15" borderId="46">
      <alignment horizontal="left" vertical="center" wrapText="1" indent="2"/>
    </xf>
    <xf numFmtId="0" fontId="14" fillId="0" borderId="46">
      <alignment horizontal="left" vertical="center" wrapText="1" indent="2"/>
    </xf>
    <xf numFmtId="0" fontId="14" fillId="14" borderId="44">
      <alignment horizontal="left" vertical="center"/>
    </xf>
    <xf numFmtId="0" fontId="79" fillId="0" borderId="0" applyNumberFormat="0" applyFill="0" applyBorder="0" applyAlignment="0" applyProtection="0"/>
    <xf numFmtId="0" fontId="85" fillId="23" borderId="35" applyNumberFormat="0" applyAlignment="0" applyProtection="0"/>
    <xf numFmtId="0" fontId="14" fillId="0" borderId="43">
      <alignment horizontal="right" vertical="center"/>
    </xf>
    <xf numFmtId="4" fontId="14" fillId="0" borderId="43">
      <alignment horizontal="right" vertical="center"/>
    </xf>
    <xf numFmtId="0" fontId="1" fillId="0" borderId="0"/>
    <xf numFmtId="0" fontId="14" fillId="0" borderId="43" applyNumberFormat="0" applyFill="0" applyAlignment="0" applyProtection="0"/>
    <xf numFmtId="0" fontId="89" fillId="36" borderId="34" applyNumberFormat="0" applyAlignment="0" applyProtection="0"/>
    <xf numFmtId="164" fontId="14" fillId="7" borderId="43" applyNumberFormat="0" applyFont="0" applyBorder="0" applyAlignment="0" applyProtection="0">
      <alignment horizontal="right" vertical="center"/>
    </xf>
    <xf numFmtId="0" fontId="14" fillId="6" borderId="43"/>
    <xf numFmtId="4" fontId="14" fillId="6" borderId="43"/>
    <xf numFmtId="0" fontId="92" fillId="0" borderId="37" applyNumberFormat="0" applyFill="0" applyAlignment="0" applyProtection="0"/>
    <xf numFmtId="0" fontId="99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0" fillId="13" borderId="30" applyNumberFormat="0" applyAlignment="0" applyProtection="0"/>
    <xf numFmtId="0" fontId="14" fillId="14" borderId="0" applyBorder="0">
      <alignment horizontal="right" vertical="center"/>
    </xf>
    <xf numFmtId="0" fontId="14" fillId="14" borderId="0" applyBorder="0">
      <alignment horizontal="right" vertical="center"/>
    </xf>
    <xf numFmtId="0" fontId="14" fillId="0" borderId="0" applyBorder="0">
      <alignment horizontal="right" vertical="center"/>
    </xf>
    <xf numFmtId="0" fontId="19" fillId="0" borderId="0"/>
    <xf numFmtId="49" fontId="14" fillId="0" borderId="43" applyNumberFormat="0" applyFont="0" applyFill="0" applyBorder="0" applyProtection="0">
      <alignment horizontal="left" vertical="center" indent="2"/>
    </xf>
    <xf numFmtId="49" fontId="14" fillId="0" borderId="44" applyNumberFormat="0" applyFont="0" applyFill="0" applyBorder="0" applyProtection="0">
      <alignment horizontal="left" vertical="center" indent="5"/>
    </xf>
    <xf numFmtId="0" fontId="68" fillId="32" borderId="0" applyNumberFormat="0" applyBorder="0" applyAlignment="0" applyProtection="0"/>
    <xf numFmtId="0" fontId="68" fillId="33" borderId="0" applyNumberFormat="0" applyBorder="0" applyAlignment="0" applyProtection="0"/>
    <xf numFmtId="0" fontId="68" fillId="34" borderId="0" applyNumberFormat="0" applyBorder="0" applyAlignment="0" applyProtection="0"/>
    <xf numFmtId="0" fontId="68" fillId="29" borderId="0" applyNumberFormat="0" applyBorder="0" applyAlignment="0" applyProtection="0"/>
    <xf numFmtId="0" fontId="68" fillId="30" borderId="0" applyNumberFormat="0" applyBorder="0" applyAlignment="0" applyProtection="0"/>
    <xf numFmtId="0" fontId="68" fillId="35" borderId="0" applyNumberFormat="0" applyBorder="0" applyAlignment="0" applyProtection="0"/>
    <xf numFmtId="0" fontId="81" fillId="20" borderId="0" applyNumberFormat="0" applyBorder="0" applyAlignment="0" applyProtection="0"/>
    <xf numFmtId="4" fontId="19" fillId="0" borderId="0"/>
    <xf numFmtId="0" fontId="19" fillId="0" borderId="0"/>
    <xf numFmtId="0" fontId="1" fillId="0" borderId="0"/>
    <xf numFmtId="4" fontId="14" fillId="0" borderId="43" applyFill="0" applyBorder="0" applyProtection="0">
      <alignment horizontal="right" vertical="center"/>
    </xf>
    <xf numFmtId="49" fontId="15" fillId="0" borderId="43" applyNumberFormat="0" applyFill="0" applyBorder="0" applyProtection="0">
      <alignment horizontal="left" vertical="center"/>
    </xf>
    <xf numFmtId="0" fontId="19" fillId="6" borderId="0" applyNumberFormat="0" applyFont="0" applyBorder="0" applyAlignment="0" applyProtection="0"/>
    <xf numFmtId="0" fontId="90" fillId="19" borderId="0" applyNumberFormat="0" applyBorder="0" applyAlignment="0" applyProtection="0"/>
    <xf numFmtId="0" fontId="94" fillId="0" borderId="38" applyNumberFormat="0" applyFill="0" applyAlignment="0" applyProtection="0"/>
    <xf numFmtId="0" fontId="95" fillId="0" borderId="39" applyNumberFormat="0" applyFill="0" applyAlignment="0" applyProtection="0"/>
    <xf numFmtId="0" fontId="96" fillId="0" borderId="40" applyNumberFormat="0" applyFill="0" applyAlignment="0" applyProtection="0"/>
    <xf numFmtId="0" fontId="96" fillId="0" borderId="0" applyNumberFormat="0" applyFill="0" applyBorder="0" applyAlignment="0" applyProtection="0"/>
    <xf numFmtId="0" fontId="97" fillId="0" borderId="41" applyNumberFormat="0" applyFill="0" applyAlignment="0" applyProtection="0"/>
    <xf numFmtId="0" fontId="100" fillId="37" borderId="36" applyNumberFormat="0" applyAlignment="0" applyProtection="0"/>
    <xf numFmtId="0" fontId="66" fillId="0" borderId="0" applyNumberFormat="0" applyFill="0" applyBorder="0" applyAlignment="0" applyProtection="0"/>
    <xf numFmtId="0" fontId="1" fillId="0" borderId="0"/>
    <xf numFmtId="0" fontId="60" fillId="13" borderId="30" applyNumberFormat="0" applyAlignment="0" applyProtection="0"/>
    <xf numFmtId="0" fontId="64" fillId="18" borderId="0" applyNumberFormat="0" applyBorder="0" applyAlignment="0" applyProtection="0"/>
    <xf numFmtId="0" fontId="64" fillId="19" borderId="0" applyNumberFormat="0" applyBorder="0" applyAlignment="0" applyProtection="0"/>
    <xf numFmtId="0" fontId="64" fillId="20" borderId="0" applyNumberFormat="0" applyBorder="0" applyAlignment="0" applyProtection="0"/>
    <xf numFmtId="0" fontId="64" fillId="21" borderId="0" applyNumberFormat="0" applyBorder="0" applyAlignment="0" applyProtection="0"/>
    <xf numFmtId="0" fontId="64" fillId="22" borderId="0" applyNumberFormat="0" applyBorder="0" applyAlignment="0" applyProtection="0"/>
    <xf numFmtId="0" fontId="64" fillId="23" borderId="0" applyNumberFormat="0" applyBorder="0" applyAlignment="0" applyProtection="0"/>
    <xf numFmtId="0" fontId="64" fillId="24" borderId="0" applyNumberFormat="0" applyBorder="0" applyAlignment="0" applyProtection="0"/>
    <xf numFmtId="0" fontId="64" fillId="25" borderId="0" applyNumberFormat="0" applyBorder="0" applyAlignment="0" applyProtection="0"/>
    <xf numFmtId="0" fontId="64" fillId="26" borderId="0" applyNumberFormat="0" applyBorder="0" applyAlignment="0" applyProtection="0"/>
    <xf numFmtId="0" fontId="64" fillId="21" borderId="0" applyNumberFormat="0" applyBorder="0" applyAlignment="0" applyProtection="0"/>
    <xf numFmtId="0" fontId="64" fillId="24" borderId="0" applyNumberFormat="0" applyBorder="0" applyAlignment="0" applyProtection="0"/>
    <xf numFmtId="0" fontId="64" fillId="27" borderId="0" applyNumberFormat="0" applyBorder="0" applyAlignment="0" applyProtection="0"/>
    <xf numFmtId="0" fontId="68" fillId="28" borderId="0" applyNumberFormat="0" applyBorder="0" applyAlignment="0" applyProtection="0"/>
    <xf numFmtId="0" fontId="68" fillId="25" borderId="0" applyNumberFormat="0" applyBorder="0" applyAlignment="0" applyProtection="0"/>
    <xf numFmtId="0" fontId="68" fillId="26" borderId="0" applyNumberFormat="0" applyBorder="0" applyAlignment="0" applyProtection="0"/>
    <xf numFmtId="0" fontId="68" fillId="29" borderId="0" applyNumberFormat="0" applyBorder="0" applyAlignment="0" applyProtection="0"/>
    <xf numFmtId="0" fontId="68" fillId="30" borderId="0" applyNumberFormat="0" applyBorder="0" applyAlignment="0" applyProtection="0"/>
    <xf numFmtId="0" fontId="68" fillId="31" borderId="0" applyNumberFormat="0" applyBorder="0" applyAlignment="0" applyProtection="0"/>
    <xf numFmtId="0" fontId="70" fillId="36" borderId="34" applyNumberFormat="0" applyAlignment="0" applyProtection="0"/>
    <xf numFmtId="0" fontId="72" fillId="36" borderId="35" applyNumberFormat="0" applyAlignment="0" applyProtection="0"/>
    <xf numFmtId="0" fontId="77" fillId="0" borderId="37" applyNumberFormat="0" applyFill="0" applyAlignment="0" applyProtection="0"/>
    <xf numFmtId="0" fontId="78" fillId="0" borderId="0" applyNumberFormat="0" applyFill="0" applyBorder="0" applyAlignment="0" applyProtection="0"/>
    <xf numFmtId="0" fontId="1" fillId="0" borderId="0"/>
    <xf numFmtId="0" fontId="9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49" fontId="14" fillId="0" borderId="1" applyNumberFormat="0" applyFont="0" applyFill="0" applyBorder="0" applyProtection="0">
      <alignment horizontal="left" vertical="center" indent="2"/>
    </xf>
    <xf numFmtId="49" fontId="14" fillId="0" borderId="2" applyNumberFormat="0" applyFont="0" applyFill="0" applyBorder="0" applyProtection="0">
      <alignment horizontal="left" vertical="center" indent="5"/>
    </xf>
    <xf numFmtId="0" fontId="61" fillId="14" borderId="1">
      <alignment horizontal="right" vertical="center"/>
    </xf>
    <xf numFmtId="4" fontId="61" fillId="14" borderId="1">
      <alignment horizontal="right" vertical="center"/>
    </xf>
    <xf numFmtId="0" fontId="63" fillId="14" borderId="1">
      <alignment horizontal="right" vertical="center"/>
    </xf>
    <xf numFmtId="4" fontId="63" fillId="14" borderId="1">
      <alignment horizontal="right" vertical="center"/>
    </xf>
    <xf numFmtId="0" fontId="61" fillId="15" borderId="1">
      <alignment horizontal="right" vertical="center"/>
    </xf>
    <xf numFmtId="4" fontId="61" fillId="15" borderId="1">
      <alignment horizontal="right" vertical="center"/>
    </xf>
    <xf numFmtId="0" fontId="61" fillId="15" borderId="1">
      <alignment horizontal="right" vertical="center"/>
    </xf>
    <xf numFmtId="4" fontId="61" fillId="15" borderId="1">
      <alignment horizontal="right" vertical="center"/>
    </xf>
    <xf numFmtId="0" fontId="61" fillId="15" borderId="2">
      <alignment horizontal="right" vertical="center"/>
    </xf>
    <xf numFmtId="4" fontId="61" fillId="15" borderId="2">
      <alignment horizontal="right" vertical="center"/>
    </xf>
    <xf numFmtId="0" fontId="61" fillId="15" borderId="6">
      <alignment horizontal="right" vertical="center"/>
    </xf>
    <xf numFmtId="4" fontId="61" fillId="15" borderId="6">
      <alignment horizontal="right" vertical="center"/>
    </xf>
    <xf numFmtId="166" fontId="24" fillId="0" borderId="0" applyFont="0" applyFill="0" applyBorder="0" applyAlignment="0" applyProtection="0"/>
    <xf numFmtId="0" fontId="14" fillId="15" borderId="33">
      <alignment horizontal="left" vertical="center" wrapText="1" indent="2"/>
    </xf>
    <xf numFmtId="0" fontId="14" fillId="0" borderId="33">
      <alignment horizontal="left" vertical="center" wrapText="1" indent="2"/>
    </xf>
    <xf numFmtId="0" fontId="14" fillId="14" borderId="2">
      <alignment horizontal="left" vertical="center"/>
    </xf>
    <xf numFmtId="0" fontId="76" fillId="23" borderId="35" applyNumberFormat="0" applyAlignment="0" applyProtection="0"/>
    <xf numFmtId="0" fontId="14" fillId="0" borderId="1">
      <alignment horizontal="right" vertical="center"/>
    </xf>
    <xf numFmtId="4" fontId="14" fillId="0" borderId="1">
      <alignment horizontal="right" vertical="center"/>
    </xf>
    <xf numFmtId="0" fontId="24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9" fillId="0" borderId="0"/>
    <xf numFmtId="4" fontId="14" fillId="0" borderId="1" applyFill="0" applyBorder="0" applyProtection="0">
      <alignment horizontal="right" vertical="center"/>
    </xf>
    <xf numFmtId="49" fontId="15" fillId="0" borderId="1" applyNumberFormat="0" applyFill="0" applyBorder="0" applyProtection="0">
      <alignment horizontal="left" vertical="center"/>
    </xf>
    <xf numFmtId="0" fontId="14" fillId="0" borderId="1" applyNumberFormat="0" applyFill="0" applyAlignment="0" applyProtection="0"/>
    <xf numFmtId="0" fontId="24" fillId="16" borderId="0" applyNumberFormat="0" applyFont="0" applyBorder="0" applyAlignment="0" applyProtection="0"/>
    <xf numFmtId="164" fontId="14" fillId="7" borderId="1" applyNumberFormat="0" applyFont="0" applyBorder="0" applyAlignment="0" applyProtection="0">
      <alignment horizontal="right" vertical="center"/>
    </xf>
    <xf numFmtId="9" fontId="24" fillId="0" borderId="0" applyFont="0" applyFill="0" applyBorder="0" applyAlignment="0" applyProtection="0"/>
    <xf numFmtId="0" fontId="14" fillId="6" borderId="1"/>
    <xf numFmtId="4" fontId="14" fillId="6" borderId="1"/>
    <xf numFmtId="0" fontId="14" fillId="15" borderId="46">
      <alignment horizontal="left" vertical="center" wrapText="1" indent="2"/>
    </xf>
    <xf numFmtId="0" fontId="14" fillId="0" borderId="46">
      <alignment horizontal="left" vertical="center" wrapText="1" indent="2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15" borderId="33">
      <alignment horizontal="left" vertical="center" wrapText="1" indent="2"/>
    </xf>
    <xf numFmtId="0" fontId="14" fillId="0" borderId="33">
      <alignment horizontal="left" vertical="center" wrapText="1" indent="2"/>
    </xf>
    <xf numFmtId="0" fontId="19" fillId="0" borderId="0"/>
    <xf numFmtId="4" fontId="61" fillId="15" borderId="43">
      <alignment horizontal="right" vertical="center"/>
    </xf>
    <xf numFmtId="0" fontId="14" fillId="6" borderId="43"/>
    <xf numFmtId="0" fontId="72" fillId="36" borderId="35" applyNumberFormat="0" applyAlignment="0" applyProtection="0"/>
    <xf numFmtId="0" fontId="61" fillId="14" borderId="43">
      <alignment horizontal="right" vertical="center"/>
    </xf>
    <xf numFmtId="0" fontId="14" fillId="0" borderId="43">
      <alignment horizontal="right" vertical="center"/>
    </xf>
    <xf numFmtId="0" fontId="92" fillId="0" borderId="37" applyNumberFormat="0" applyFill="0" applyAlignment="0" applyProtection="0"/>
    <xf numFmtId="0" fontId="14" fillId="14" borderId="44">
      <alignment horizontal="left" vertical="center"/>
    </xf>
    <xf numFmtId="0" fontId="85" fillId="23" borderId="35" applyNumberFormat="0" applyAlignment="0" applyProtection="0"/>
    <xf numFmtId="164" fontId="14" fillId="7" borderId="43" applyNumberFormat="0" applyFont="0" applyBorder="0" applyAlignment="0" applyProtection="0">
      <alignment horizontal="right" vertical="center"/>
    </xf>
    <xf numFmtId="0" fontId="67" fillId="39" borderId="42" applyNumberFormat="0" applyFont="0" applyAlignment="0" applyProtection="0"/>
    <xf numFmtId="0" fontId="14" fillId="0" borderId="46">
      <alignment horizontal="left" vertical="center" wrapText="1" indent="2"/>
    </xf>
    <xf numFmtId="4" fontId="14" fillId="6" borderId="43"/>
    <xf numFmtId="49" fontId="15" fillId="0" borderId="43" applyNumberFormat="0" applyFill="0" applyBorder="0" applyProtection="0">
      <alignment horizontal="left" vertical="center"/>
    </xf>
    <xf numFmtId="0" fontId="14" fillId="0" borderId="43">
      <alignment horizontal="right" vertical="center"/>
    </xf>
    <xf numFmtId="4" fontId="61" fillId="15" borderId="45">
      <alignment horizontal="right" vertical="center"/>
    </xf>
    <xf numFmtId="4" fontId="61" fillId="15" borderId="43">
      <alignment horizontal="right" vertical="center"/>
    </xf>
    <xf numFmtId="4" fontId="61" fillId="15" borderId="43">
      <alignment horizontal="right" vertical="center"/>
    </xf>
    <xf numFmtId="0" fontId="63" fillId="14" borderId="43">
      <alignment horizontal="right" vertical="center"/>
    </xf>
    <xf numFmtId="0" fontId="61" fillId="14" borderId="43">
      <alignment horizontal="right" vertical="center"/>
    </xf>
    <xf numFmtId="49" fontId="14" fillId="0" borderId="43" applyNumberFormat="0" applyFont="0" applyFill="0" applyBorder="0" applyProtection="0">
      <alignment horizontal="left" vertical="center" indent="2"/>
    </xf>
    <xf numFmtId="0" fontId="85" fillId="23" borderId="35" applyNumberFormat="0" applyAlignment="0" applyProtection="0"/>
    <xf numFmtId="0" fontId="70" fillId="36" borderId="34" applyNumberFormat="0" applyAlignment="0" applyProtection="0"/>
    <xf numFmtId="49" fontId="14" fillId="0" borderId="43" applyNumberFormat="0" applyFont="0" applyFill="0" applyBorder="0" applyProtection="0">
      <alignment horizontal="left" vertical="center" indent="2"/>
    </xf>
    <xf numFmtId="0" fontId="76" fillId="23" borderId="35" applyNumberFormat="0" applyAlignment="0" applyProtection="0"/>
    <xf numFmtId="4" fontId="14" fillId="0" borderId="43" applyFill="0" applyBorder="0" applyProtection="0">
      <alignment horizontal="right" vertical="center"/>
    </xf>
    <xf numFmtId="0" fontId="73" fillId="36" borderId="35" applyNumberFormat="0" applyAlignment="0" applyProtection="0"/>
    <xf numFmtId="0" fontId="92" fillId="0" borderId="37" applyNumberFormat="0" applyFill="0" applyAlignment="0" applyProtection="0"/>
    <xf numFmtId="0" fontId="89" fillId="36" borderId="34" applyNumberFormat="0" applyAlignment="0" applyProtection="0"/>
    <xf numFmtId="0" fontId="14" fillId="0" borderId="43" applyNumberFormat="0" applyFill="0" applyAlignment="0" applyProtection="0"/>
    <xf numFmtId="4" fontId="14" fillId="0" borderId="43">
      <alignment horizontal="right" vertical="center"/>
    </xf>
    <xf numFmtId="0" fontId="14" fillId="0" borderId="43">
      <alignment horizontal="right" vertical="center"/>
    </xf>
    <xf numFmtId="0" fontId="85" fillId="23" borderId="35" applyNumberFormat="0" applyAlignment="0" applyProtection="0"/>
    <xf numFmtId="0" fontId="70" fillId="36" borderId="34" applyNumberFormat="0" applyAlignment="0" applyProtection="0"/>
    <xf numFmtId="0" fontId="72" fillId="36" borderId="35" applyNumberFormat="0" applyAlignment="0" applyProtection="0"/>
    <xf numFmtId="0" fontId="14" fillId="15" borderId="46">
      <alignment horizontal="left" vertical="center" wrapText="1" indent="2"/>
    </xf>
    <xf numFmtId="0" fontId="73" fillId="36" borderId="35" applyNumberFormat="0" applyAlignment="0" applyProtection="0"/>
    <xf numFmtId="0" fontId="73" fillId="36" borderId="35" applyNumberFormat="0" applyAlignment="0" applyProtection="0"/>
    <xf numFmtId="4" fontId="61" fillId="15" borderId="44">
      <alignment horizontal="right" vertical="center"/>
    </xf>
    <xf numFmtId="0" fontId="61" fillId="15" borderId="44">
      <alignment horizontal="right" vertical="center"/>
    </xf>
    <xf numFmtId="0" fontId="61" fillId="15" borderId="43">
      <alignment horizontal="right" vertical="center"/>
    </xf>
    <xf numFmtId="4" fontId="63" fillId="14" borderId="43">
      <alignment horizontal="right" vertical="center"/>
    </xf>
    <xf numFmtId="0" fontId="76" fillId="23" borderId="35" applyNumberFormat="0" applyAlignment="0" applyProtection="0"/>
    <xf numFmtId="0" fontId="77" fillId="0" borderId="37" applyNumberFormat="0" applyFill="0" applyAlignment="0" applyProtection="0"/>
    <xf numFmtId="0" fontId="92" fillId="0" borderId="37" applyNumberFormat="0" applyFill="0" applyAlignment="0" applyProtection="0"/>
    <xf numFmtId="0" fontId="67" fillId="39" borderId="42" applyNumberFormat="0" applyFont="0" applyAlignment="0" applyProtection="0"/>
    <xf numFmtId="0" fontId="85" fillId="23" borderId="35" applyNumberFormat="0" applyAlignment="0" applyProtection="0"/>
    <xf numFmtId="49" fontId="15" fillId="0" borderId="43" applyNumberFormat="0" applyFill="0" applyBorder="0" applyProtection="0">
      <alignment horizontal="left" vertical="center"/>
    </xf>
    <xf numFmtId="0" fontId="14" fillId="15" borderId="46">
      <alignment horizontal="left" vertical="center" wrapText="1" indent="2"/>
    </xf>
    <xf numFmtId="0" fontId="73" fillId="36" borderId="35" applyNumberFormat="0" applyAlignment="0" applyProtection="0"/>
    <xf numFmtId="0" fontId="14" fillId="0" borderId="46">
      <alignment horizontal="left" vertical="center" wrapText="1" indent="2"/>
    </xf>
    <xf numFmtId="0" fontId="67" fillId="39" borderId="42" applyNumberFormat="0" applyFont="0" applyAlignment="0" applyProtection="0"/>
    <xf numFmtId="0" fontId="19" fillId="39" borderId="42" applyNumberFormat="0" applyFont="0" applyAlignment="0" applyProtection="0"/>
    <xf numFmtId="0" fontId="89" fillId="36" borderId="34" applyNumberFormat="0" applyAlignment="0" applyProtection="0"/>
    <xf numFmtId="0" fontId="92" fillId="0" borderId="37" applyNumberFormat="0" applyFill="0" applyAlignment="0" applyProtection="0"/>
    <xf numFmtId="4" fontId="14" fillId="6" borderId="43"/>
    <xf numFmtId="0" fontId="61" fillId="15" borderId="43">
      <alignment horizontal="right" vertical="center"/>
    </xf>
    <xf numFmtId="0" fontId="92" fillId="0" borderId="37" applyNumberFormat="0" applyFill="0" applyAlignment="0" applyProtection="0"/>
    <xf numFmtId="4" fontId="61" fillId="15" borderId="45">
      <alignment horizontal="right" vertical="center"/>
    </xf>
    <xf numFmtId="0" fontId="72" fillId="36" borderId="35" applyNumberFormat="0" applyAlignment="0" applyProtection="0"/>
    <xf numFmtId="0" fontId="61" fillId="15" borderId="44">
      <alignment horizontal="right" vertical="center"/>
    </xf>
    <xf numFmtId="0" fontId="73" fillId="36" borderId="35" applyNumberFormat="0" applyAlignment="0" applyProtection="0"/>
    <xf numFmtId="0" fontId="77" fillId="0" borderId="37" applyNumberFormat="0" applyFill="0" applyAlignment="0" applyProtection="0"/>
    <xf numFmtId="0" fontId="67" fillId="39" borderId="42" applyNumberFormat="0" applyFont="0" applyAlignment="0" applyProtection="0"/>
    <xf numFmtId="4" fontId="61" fillId="15" borderId="44">
      <alignment horizontal="right" vertical="center"/>
    </xf>
    <xf numFmtId="0" fontId="14" fillId="15" borderId="46">
      <alignment horizontal="left" vertical="center" wrapText="1" indent="2"/>
    </xf>
    <xf numFmtId="0" fontId="14" fillId="6" borderId="43"/>
    <xf numFmtId="164" fontId="14" fillId="7" borderId="43" applyNumberFormat="0" applyFont="0" applyBorder="0" applyAlignment="0" applyProtection="0">
      <alignment horizontal="right" vertical="center"/>
    </xf>
    <xf numFmtId="0" fontId="14" fillId="0" borderId="43" applyNumberFormat="0" applyFill="0" applyAlignment="0" applyProtection="0"/>
    <xf numFmtId="4" fontId="14" fillId="0" borderId="43" applyFill="0" applyBorder="0" applyProtection="0">
      <alignment horizontal="right" vertical="center"/>
    </xf>
    <xf numFmtId="4" fontId="61" fillId="14" borderId="43">
      <alignment horizontal="right" vertical="center"/>
    </xf>
    <xf numFmtId="0" fontId="77" fillId="0" borderId="37" applyNumberFormat="0" applyFill="0" applyAlignment="0" applyProtection="0"/>
    <xf numFmtId="49" fontId="15" fillId="0" borderId="43" applyNumberFormat="0" applyFill="0" applyBorder="0" applyProtection="0">
      <alignment horizontal="left" vertical="center"/>
    </xf>
    <xf numFmtId="49" fontId="14" fillId="0" borderId="44" applyNumberFormat="0" applyFont="0" applyFill="0" applyBorder="0" applyProtection="0">
      <alignment horizontal="left" vertical="center" indent="5"/>
    </xf>
    <xf numFmtId="0" fontId="14" fillId="14" borderId="44">
      <alignment horizontal="left" vertical="center"/>
    </xf>
    <xf numFmtId="0" fontId="73" fillId="36" borderId="35" applyNumberFormat="0" applyAlignment="0" applyProtection="0"/>
    <xf numFmtId="4" fontId="61" fillId="15" borderId="45">
      <alignment horizontal="right" vertical="center"/>
    </xf>
    <xf numFmtId="0" fontId="85" fillId="23" borderId="35" applyNumberFormat="0" applyAlignment="0" applyProtection="0"/>
    <xf numFmtId="0" fontId="85" fillId="23" borderId="35" applyNumberFormat="0" applyAlignment="0" applyProtection="0"/>
    <xf numFmtId="0" fontId="67" fillId="39" borderId="42" applyNumberFormat="0" applyFont="0" applyAlignment="0" applyProtection="0"/>
    <xf numFmtId="0" fontId="89" fillId="36" borderId="34" applyNumberFormat="0" applyAlignment="0" applyProtection="0"/>
    <xf numFmtId="0" fontId="92" fillId="0" borderId="37" applyNumberFormat="0" applyFill="0" applyAlignment="0" applyProtection="0"/>
    <xf numFmtId="0" fontId="61" fillId="15" borderId="43">
      <alignment horizontal="right" vertical="center"/>
    </xf>
    <xf numFmtId="0" fontId="19" fillId="39" borderId="42" applyNumberFormat="0" applyFont="0" applyAlignment="0" applyProtection="0"/>
    <xf numFmtId="4" fontId="14" fillId="0" borderId="43">
      <alignment horizontal="right" vertical="center"/>
    </xf>
    <xf numFmtId="0" fontId="92" fillId="0" borderId="37" applyNumberFormat="0" applyFill="0" applyAlignment="0" applyProtection="0"/>
    <xf numFmtId="0" fontId="61" fillId="15" borderId="43">
      <alignment horizontal="right" vertical="center"/>
    </xf>
    <xf numFmtId="0" fontId="61" fillId="15" borderId="43">
      <alignment horizontal="right" vertical="center"/>
    </xf>
    <xf numFmtId="4" fontId="63" fillId="14" borderId="43">
      <alignment horizontal="right" vertical="center"/>
    </xf>
    <xf numFmtId="0" fontId="61" fillId="14" borderId="43">
      <alignment horizontal="right" vertical="center"/>
    </xf>
    <xf numFmtId="4" fontId="61" fillId="14" borderId="43">
      <alignment horizontal="right" vertical="center"/>
    </xf>
    <xf numFmtId="0" fontId="63" fillId="14" borderId="43">
      <alignment horizontal="right" vertical="center"/>
    </xf>
    <xf numFmtId="4" fontId="63" fillId="14" borderId="43">
      <alignment horizontal="right" vertical="center"/>
    </xf>
    <xf numFmtId="0" fontId="61" fillId="15" borderId="43">
      <alignment horizontal="right" vertical="center"/>
    </xf>
    <xf numFmtId="4" fontId="61" fillId="15" borderId="43">
      <alignment horizontal="right" vertical="center"/>
    </xf>
    <xf numFmtId="0" fontId="61" fillId="15" borderId="43">
      <alignment horizontal="right" vertical="center"/>
    </xf>
    <xf numFmtId="4" fontId="61" fillId="15" borderId="43">
      <alignment horizontal="right" vertical="center"/>
    </xf>
    <xf numFmtId="0" fontId="61" fillId="15" borderId="44">
      <alignment horizontal="right" vertical="center"/>
    </xf>
    <xf numFmtId="4" fontId="61" fillId="15" borderId="44">
      <alignment horizontal="right" vertical="center"/>
    </xf>
    <xf numFmtId="0" fontId="61" fillId="15" borderId="45">
      <alignment horizontal="right" vertical="center"/>
    </xf>
    <xf numFmtId="4" fontId="61" fillId="15" borderId="45">
      <alignment horizontal="right" vertical="center"/>
    </xf>
    <xf numFmtId="0" fontId="73" fillId="36" borderId="35" applyNumberFormat="0" applyAlignment="0" applyProtection="0"/>
    <xf numFmtId="0" fontId="14" fillId="15" borderId="46">
      <alignment horizontal="left" vertical="center" wrapText="1" indent="2"/>
    </xf>
    <xf numFmtId="0" fontId="14" fillId="0" borderId="46">
      <alignment horizontal="left" vertical="center" wrapText="1" indent="2"/>
    </xf>
    <xf numFmtId="0" fontId="14" fillId="14" borderId="44">
      <alignment horizontal="left" vertical="center"/>
    </xf>
    <xf numFmtId="0" fontId="85" fillId="23" borderId="35" applyNumberFormat="0" applyAlignment="0" applyProtection="0"/>
    <xf numFmtId="0" fontId="14" fillId="0" borderId="43">
      <alignment horizontal="right" vertical="center"/>
    </xf>
    <xf numFmtId="4" fontId="14" fillId="0" borderId="43">
      <alignment horizontal="right" vertical="center"/>
    </xf>
    <xf numFmtId="0" fontId="14" fillId="0" borderId="43" applyNumberFormat="0" applyFill="0" applyAlignment="0" applyProtection="0"/>
    <xf numFmtId="0" fontId="89" fillId="36" borderId="34" applyNumberFormat="0" applyAlignment="0" applyProtection="0"/>
    <xf numFmtId="164" fontId="14" fillId="7" borderId="43" applyNumberFormat="0" applyFont="0" applyBorder="0" applyAlignment="0" applyProtection="0">
      <alignment horizontal="right" vertical="center"/>
    </xf>
    <xf numFmtId="0" fontId="14" fillId="6" borderId="43"/>
    <xf numFmtId="4" fontId="14" fillId="6" borderId="43"/>
    <xf numFmtId="0" fontId="92" fillId="0" borderId="37" applyNumberFormat="0" applyFill="0" applyAlignment="0" applyProtection="0"/>
    <xf numFmtId="0" fontId="19" fillId="39" borderId="42" applyNumberFormat="0" applyFont="0" applyAlignment="0" applyProtection="0"/>
    <xf numFmtId="0" fontId="67" fillId="39" borderId="42" applyNumberFormat="0" applyFont="0" applyAlignment="0" applyProtection="0"/>
    <xf numFmtId="0" fontId="14" fillId="0" borderId="43" applyNumberFormat="0" applyFill="0" applyAlignment="0" applyProtection="0"/>
    <xf numFmtId="0" fontId="77" fillId="0" borderId="37" applyNumberFormat="0" applyFill="0" applyAlignment="0" applyProtection="0"/>
    <xf numFmtId="0" fontId="92" fillId="0" borderId="37" applyNumberFormat="0" applyFill="0" applyAlignment="0" applyProtection="0"/>
    <xf numFmtId="0" fontId="76" fillId="23" borderId="35" applyNumberFormat="0" applyAlignment="0" applyProtection="0"/>
    <xf numFmtId="0" fontId="73" fillId="36" borderId="35" applyNumberFormat="0" applyAlignment="0" applyProtection="0"/>
    <xf numFmtId="4" fontId="63" fillId="14" borderId="43">
      <alignment horizontal="right" vertical="center"/>
    </xf>
    <xf numFmtId="0" fontId="61" fillId="14" borderId="43">
      <alignment horizontal="right" vertical="center"/>
    </xf>
    <xf numFmtId="164" fontId="14" fillId="7" borderId="43" applyNumberFormat="0" applyFont="0" applyBorder="0" applyAlignment="0" applyProtection="0">
      <alignment horizontal="right" vertical="center"/>
    </xf>
    <xf numFmtId="0" fontId="77" fillId="0" borderId="37" applyNumberFormat="0" applyFill="0" applyAlignment="0" applyProtection="0"/>
    <xf numFmtId="49" fontId="14" fillId="0" borderId="43" applyNumberFormat="0" applyFont="0" applyFill="0" applyBorder="0" applyProtection="0">
      <alignment horizontal="left" vertical="center" indent="2"/>
    </xf>
    <xf numFmtId="49" fontId="14" fillId="0" borderId="44" applyNumberFormat="0" applyFont="0" applyFill="0" applyBorder="0" applyProtection="0">
      <alignment horizontal="left" vertical="center" indent="5"/>
    </xf>
    <xf numFmtId="49" fontId="14" fillId="0" borderId="43" applyNumberFormat="0" applyFont="0" applyFill="0" applyBorder="0" applyProtection="0">
      <alignment horizontal="left" vertical="center" indent="2"/>
    </xf>
    <xf numFmtId="4" fontId="14" fillId="0" borderId="43" applyFill="0" applyBorder="0" applyProtection="0">
      <alignment horizontal="right" vertical="center"/>
    </xf>
    <xf numFmtId="49" fontId="15" fillId="0" borderId="43" applyNumberFormat="0" applyFill="0" applyBorder="0" applyProtection="0">
      <alignment horizontal="left" vertical="center"/>
    </xf>
    <xf numFmtId="0" fontId="14" fillId="0" borderId="46">
      <alignment horizontal="left" vertical="center" wrapText="1" indent="2"/>
    </xf>
    <xf numFmtId="0" fontId="89" fillId="36" borderId="34" applyNumberFormat="0" applyAlignment="0" applyProtection="0"/>
    <xf numFmtId="0" fontId="61" fillId="15" borderId="45">
      <alignment horizontal="right" vertical="center"/>
    </xf>
    <xf numFmtId="0" fontId="76" fillId="23" borderId="35" applyNumberFormat="0" applyAlignment="0" applyProtection="0"/>
    <xf numFmtId="0" fontId="61" fillId="15" borderId="45">
      <alignment horizontal="right" vertical="center"/>
    </xf>
    <xf numFmtId="4" fontId="61" fillId="15" borderId="43">
      <alignment horizontal="right" vertical="center"/>
    </xf>
    <xf numFmtId="0" fontId="61" fillId="15" borderId="43">
      <alignment horizontal="right" vertical="center"/>
    </xf>
    <xf numFmtId="0" fontId="70" fillId="36" borderId="34" applyNumberFormat="0" applyAlignment="0" applyProtection="0"/>
    <xf numFmtId="0" fontId="72" fillId="36" borderId="35" applyNumberFormat="0" applyAlignment="0" applyProtection="0"/>
    <xf numFmtId="0" fontId="77" fillId="0" borderId="37" applyNumberFormat="0" applyFill="0" applyAlignment="0" applyProtection="0"/>
    <xf numFmtId="0" fontId="14" fillId="6" borderId="43"/>
    <xf numFmtId="4" fontId="14" fillId="6" borderId="43"/>
    <xf numFmtId="4" fontId="61" fillId="15" borderId="43">
      <alignment horizontal="right" vertical="center"/>
    </xf>
    <xf numFmtId="0" fontId="63" fillId="14" borderId="43">
      <alignment horizontal="right" vertical="center"/>
    </xf>
    <xf numFmtId="0" fontId="76" fillId="23" borderId="35" applyNumberFormat="0" applyAlignment="0" applyProtection="0"/>
    <xf numFmtId="0" fontId="73" fillId="36" borderId="35" applyNumberFormat="0" applyAlignment="0" applyProtection="0"/>
    <xf numFmtId="4" fontId="14" fillId="0" borderId="43">
      <alignment horizontal="right" vertical="center"/>
    </xf>
    <xf numFmtId="0" fontId="14" fillId="15" borderId="46">
      <alignment horizontal="left" vertical="center" wrapText="1" indent="2"/>
    </xf>
    <xf numFmtId="0" fontId="14" fillId="0" borderId="46">
      <alignment horizontal="left" vertical="center" wrapText="1" indent="2"/>
    </xf>
    <xf numFmtId="0" fontId="89" fillId="36" borderId="34" applyNumberFormat="0" applyAlignment="0" applyProtection="0"/>
    <xf numFmtId="0" fontId="85" fillId="23" borderId="35" applyNumberFormat="0" applyAlignment="0" applyProtection="0"/>
    <xf numFmtId="0" fontId="72" fillId="36" borderId="35" applyNumberFormat="0" applyAlignment="0" applyProtection="0"/>
    <xf numFmtId="0" fontId="70" fillId="36" borderId="34" applyNumberFormat="0" applyAlignment="0" applyProtection="0"/>
    <xf numFmtId="0" fontId="61" fillId="15" borderId="45">
      <alignment horizontal="right" vertical="center"/>
    </xf>
    <xf numFmtId="0" fontId="63" fillId="14" borderId="43">
      <alignment horizontal="right" vertical="center"/>
    </xf>
    <xf numFmtId="4" fontId="61" fillId="14" borderId="43">
      <alignment horizontal="right" vertical="center"/>
    </xf>
    <xf numFmtId="4" fontId="61" fillId="15" borderId="43">
      <alignment horizontal="right" vertical="center"/>
    </xf>
    <xf numFmtId="49" fontId="14" fillId="0" borderId="44" applyNumberFormat="0" applyFont="0" applyFill="0" applyBorder="0" applyProtection="0">
      <alignment horizontal="left" vertical="center" indent="5"/>
    </xf>
    <xf numFmtId="4" fontId="14" fillId="0" borderId="43" applyFill="0" applyBorder="0" applyProtection="0">
      <alignment horizontal="right" vertical="center"/>
    </xf>
    <xf numFmtId="4" fontId="61" fillId="14" borderId="43">
      <alignment horizontal="right" vertical="center"/>
    </xf>
    <xf numFmtId="0" fontId="19" fillId="0" borderId="0"/>
    <xf numFmtId="0" fontId="85" fillId="23" borderId="35" applyNumberFormat="0" applyAlignment="0" applyProtection="0"/>
    <xf numFmtId="0" fontId="76" fillId="23" borderId="35" applyNumberFormat="0" applyAlignment="0" applyProtection="0"/>
    <xf numFmtId="0" fontId="72" fillId="36" borderId="35" applyNumberFormat="0" applyAlignment="0" applyProtection="0"/>
    <xf numFmtId="0" fontId="14" fillId="15" borderId="46">
      <alignment horizontal="left" vertical="center" wrapText="1" indent="2"/>
    </xf>
    <xf numFmtId="0" fontId="14" fillId="0" borderId="46">
      <alignment horizontal="left" vertical="center" wrapText="1" indent="2"/>
    </xf>
    <xf numFmtId="0" fontId="14" fillId="15" borderId="46">
      <alignment horizontal="left" vertical="center" wrapText="1" indent="2"/>
    </xf>
    <xf numFmtId="0" fontId="14" fillId="0" borderId="46">
      <alignment horizontal="left" vertical="center" wrapText="1" indent="2"/>
    </xf>
    <xf numFmtId="0" fontId="70" fillId="36" borderId="34" applyNumberFormat="0" applyAlignment="0" applyProtection="0"/>
    <xf numFmtId="0" fontId="72" fillId="36" borderId="35" applyNumberFormat="0" applyAlignment="0" applyProtection="0"/>
    <xf numFmtId="0" fontId="73" fillId="36" borderId="35" applyNumberFormat="0" applyAlignment="0" applyProtection="0"/>
    <xf numFmtId="0" fontId="76" fillId="23" borderId="35" applyNumberFormat="0" applyAlignment="0" applyProtection="0"/>
    <xf numFmtId="0" fontId="77" fillId="0" borderId="37" applyNumberFormat="0" applyFill="0" applyAlignment="0" applyProtection="0"/>
    <xf numFmtId="0" fontId="85" fillId="23" borderId="35" applyNumberFormat="0" applyAlignment="0" applyProtection="0"/>
    <xf numFmtId="0" fontId="67" fillId="39" borderId="42" applyNumberFormat="0" applyFont="0" applyAlignment="0" applyProtection="0"/>
    <xf numFmtId="0" fontId="19" fillId="39" borderId="42" applyNumberFormat="0" applyFont="0" applyAlignment="0" applyProtection="0"/>
    <xf numFmtId="0" fontId="89" fillId="36" borderId="34" applyNumberFormat="0" applyAlignment="0" applyProtection="0"/>
    <xf numFmtId="0" fontId="92" fillId="0" borderId="37" applyNumberFormat="0" applyFill="0" applyAlignment="0" applyProtection="0"/>
    <xf numFmtId="0" fontId="73" fillId="36" borderId="35" applyNumberFormat="0" applyAlignment="0" applyProtection="0"/>
    <xf numFmtId="0" fontId="85" fillId="23" borderId="35" applyNumberFormat="0" applyAlignment="0" applyProtection="0"/>
    <xf numFmtId="0" fontId="67" fillId="39" borderId="42" applyNumberFormat="0" applyFont="0" applyAlignment="0" applyProtection="0"/>
    <xf numFmtId="0" fontId="89" fillId="36" borderId="34" applyNumberFormat="0" applyAlignment="0" applyProtection="0"/>
    <xf numFmtId="0" fontId="92" fillId="0" borderId="37" applyNumberFormat="0" applyFill="0" applyAlignment="0" applyProtection="0"/>
    <xf numFmtId="0" fontId="61" fillId="15" borderId="2">
      <alignment horizontal="right" vertical="center"/>
    </xf>
    <xf numFmtId="4" fontId="61" fillId="15" borderId="2">
      <alignment horizontal="right" vertical="center"/>
    </xf>
    <xf numFmtId="0" fontId="61" fillId="15" borderId="6">
      <alignment horizontal="right" vertical="center"/>
    </xf>
    <xf numFmtId="4" fontId="61" fillId="15" borderId="6">
      <alignment horizontal="right" vertical="center"/>
    </xf>
    <xf numFmtId="0" fontId="73" fillId="36" borderId="35" applyNumberFormat="0" applyAlignment="0" applyProtection="0"/>
    <xf numFmtId="0" fontId="14" fillId="15" borderId="33">
      <alignment horizontal="left" vertical="center" wrapText="1" indent="2"/>
    </xf>
    <xf numFmtId="0" fontId="14" fillId="0" borderId="33">
      <alignment horizontal="left" vertical="center" wrapText="1" indent="2"/>
    </xf>
    <xf numFmtId="0" fontId="14" fillId="14" borderId="2">
      <alignment horizontal="left" vertical="center"/>
    </xf>
    <xf numFmtId="0" fontId="85" fillId="23" borderId="35" applyNumberFormat="0" applyAlignment="0" applyProtection="0"/>
    <xf numFmtId="0" fontId="89" fillId="36" borderId="34" applyNumberFormat="0" applyAlignment="0" applyProtection="0"/>
    <xf numFmtId="0" fontId="92" fillId="0" borderId="37" applyNumberFormat="0" applyFill="0" applyAlignment="0" applyProtection="0"/>
    <xf numFmtId="49" fontId="14" fillId="0" borderId="2" applyNumberFormat="0" applyFont="0" applyFill="0" applyBorder="0" applyProtection="0">
      <alignment horizontal="left" vertical="center" indent="5"/>
    </xf>
    <xf numFmtId="0" fontId="70" fillId="36" borderId="34" applyNumberFormat="0" applyAlignment="0" applyProtection="0"/>
    <xf numFmtId="0" fontId="72" fillId="36" borderId="35" applyNumberFormat="0" applyAlignment="0" applyProtection="0"/>
    <xf numFmtId="0" fontId="77" fillId="0" borderId="37" applyNumberFormat="0" applyFill="0" applyAlignment="0" applyProtection="0"/>
    <xf numFmtId="49" fontId="14" fillId="0" borderId="43" applyNumberFormat="0" applyFont="0" applyFill="0" applyBorder="0" applyProtection="0">
      <alignment horizontal="left" vertical="center" indent="2"/>
    </xf>
    <xf numFmtId="0" fontId="61" fillId="14" borderId="43">
      <alignment horizontal="right" vertical="center"/>
    </xf>
    <xf numFmtId="4" fontId="61" fillId="14" borderId="43">
      <alignment horizontal="right" vertical="center"/>
    </xf>
    <xf numFmtId="0" fontId="63" fillId="14" borderId="43">
      <alignment horizontal="right" vertical="center"/>
    </xf>
    <xf numFmtId="4" fontId="63" fillId="14" borderId="43">
      <alignment horizontal="right" vertical="center"/>
    </xf>
    <xf numFmtId="0" fontId="61" fillId="15" borderId="43">
      <alignment horizontal="right" vertical="center"/>
    </xf>
    <xf numFmtId="4" fontId="61" fillId="15" borderId="43">
      <alignment horizontal="right" vertical="center"/>
    </xf>
    <xf numFmtId="0" fontId="61" fillId="15" borderId="43">
      <alignment horizontal="right" vertical="center"/>
    </xf>
    <xf numFmtId="4" fontId="61" fillId="15" borderId="43">
      <alignment horizontal="right" vertical="center"/>
    </xf>
    <xf numFmtId="0" fontId="76" fillId="23" borderId="35" applyNumberFormat="0" applyAlignment="0" applyProtection="0"/>
    <xf numFmtId="0" fontId="14" fillId="0" borderId="43">
      <alignment horizontal="right" vertical="center"/>
    </xf>
    <xf numFmtId="4" fontId="14" fillId="0" borderId="43">
      <alignment horizontal="right" vertical="center"/>
    </xf>
    <xf numFmtId="4" fontId="14" fillId="0" borderId="43" applyFill="0" applyBorder="0" applyProtection="0">
      <alignment horizontal="right" vertical="center"/>
    </xf>
    <xf numFmtId="49" fontId="15" fillId="0" borderId="43" applyNumberFormat="0" applyFill="0" applyBorder="0" applyProtection="0">
      <alignment horizontal="left" vertical="center"/>
    </xf>
    <xf numFmtId="0" fontId="14" fillId="0" borderId="43" applyNumberFormat="0" applyFill="0" applyAlignment="0" applyProtection="0"/>
    <xf numFmtId="164" fontId="14" fillId="7" borderId="43" applyNumberFormat="0" applyFont="0" applyBorder="0" applyAlignment="0" applyProtection="0">
      <alignment horizontal="right" vertical="center"/>
    </xf>
    <xf numFmtId="0" fontId="14" fillId="6" borderId="43"/>
    <xf numFmtId="4" fontId="14" fillId="6" borderId="43"/>
    <xf numFmtId="4" fontId="61" fillId="15" borderId="43">
      <alignment horizontal="right" vertical="center"/>
    </xf>
    <xf numFmtId="0" fontId="14" fillId="6" borderId="43"/>
    <xf numFmtId="0" fontId="72" fillId="36" borderId="35" applyNumberFormat="0" applyAlignment="0" applyProtection="0"/>
    <xf numFmtId="0" fontId="61" fillId="14" borderId="43">
      <alignment horizontal="right" vertical="center"/>
    </xf>
    <xf numFmtId="0" fontId="14" fillId="0" borderId="43">
      <alignment horizontal="right" vertical="center"/>
    </xf>
    <xf numFmtId="0" fontId="92" fillId="0" borderId="37" applyNumberFormat="0" applyFill="0" applyAlignment="0" applyProtection="0"/>
    <xf numFmtId="0" fontId="14" fillId="14" borderId="44">
      <alignment horizontal="left" vertical="center"/>
    </xf>
    <xf numFmtId="0" fontId="85" fillId="23" borderId="35" applyNumberFormat="0" applyAlignment="0" applyProtection="0"/>
    <xf numFmtId="164" fontId="14" fillId="7" borderId="43" applyNumberFormat="0" applyFont="0" applyBorder="0" applyAlignment="0" applyProtection="0">
      <alignment horizontal="right" vertical="center"/>
    </xf>
    <xf numFmtId="0" fontId="67" fillId="39" borderId="42" applyNumberFormat="0" applyFont="0" applyAlignment="0" applyProtection="0"/>
    <xf numFmtId="0" fontId="14" fillId="0" borderId="46">
      <alignment horizontal="left" vertical="center" wrapText="1" indent="2"/>
    </xf>
    <xf numFmtId="4" fontId="14" fillId="6" borderId="43"/>
    <xf numFmtId="49" fontId="15" fillId="0" borderId="43" applyNumberFormat="0" applyFill="0" applyBorder="0" applyProtection="0">
      <alignment horizontal="left" vertical="center"/>
    </xf>
    <xf numFmtId="0" fontId="14" fillId="0" borderId="43">
      <alignment horizontal="right" vertical="center"/>
    </xf>
    <xf numFmtId="4" fontId="61" fillId="15" borderId="45">
      <alignment horizontal="right" vertical="center"/>
    </xf>
    <xf numFmtId="4" fontId="61" fillId="15" borderId="43">
      <alignment horizontal="right" vertical="center"/>
    </xf>
    <xf numFmtId="4" fontId="61" fillId="15" borderId="43">
      <alignment horizontal="right" vertical="center"/>
    </xf>
    <xf numFmtId="0" fontId="63" fillId="14" borderId="43">
      <alignment horizontal="right" vertical="center"/>
    </xf>
    <xf numFmtId="0" fontId="61" fillId="14" borderId="43">
      <alignment horizontal="right" vertical="center"/>
    </xf>
    <xf numFmtId="49" fontId="14" fillId="0" borderId="43" applyNumberFormat="0" applyFont="0" applyFill="0" applyBorder="0" applyProtection="0">
      <alignment horizontal="left" vertical="center" indent="2"/>
    </xf>
    <xf numFmtId="0" fontId="85" fillId="23" borderId="35" applyNumberFormat="0" applyAlignment="0" applyProtection="0"/>
    <xf numFmtId="0" fontId="70" fillId="36" borderId="34" applyNumberFormat="0" applyAlignment="0" applyProtection="0"/>
    <xf numFmtId="49" fontId="14" fillId="0" borderId="43" applyNumberFormat="0" applyFont="0" applyFill="0" applyBorder="0" applyProtection="0">
      <alignment horizontal="left" vertical="center" indent="2"/>
    </xf>
    <xf numFmtId="0" fontId="76" fillId="23" borderId="35" applyNumberFormat="0" applyAlignment="0" applyProtection="0"/>
    <xf numFmtId="4" fontId="14" fillId="0" borderId="43" applyFill="0" applyBorder="0" applyProtection="0">
      <alignment horizontal="right" vertical="center"/>
    </xf>
    <xf numFmtId="0" fontId="73" fillId="36" borderId="35" applyNumberFormat="0" applyAlignment="0" applyProtection="0"/>
    <xf numFmtId="0" fontId="92" fillId="0" borderId="37" applyNumberFormat="0" applyFill="0" applyAlignment="0" applyProtection="0"/>
    <xf numFmtId="0" fontId="89" fillId="36" borderId="34" applyNumberFormat="0" applyAlignment="0" applyProtection="0"/>
    <xf numFmtId="0" fontId="14" fillId="0" borderId="43" applyNumberFormat="0" applyFill="0" applyAlignment="0" applyProtection="0"/>
    <xf numFmtId="4" fontId="14" fillId="0" borderId="43">
      <alignment horizontal="right" vertical="center"/>
    </xf>
    <xf numFmtId="0" fontId="14" fillId="0" borderId="43">
      <alignment horizontal="right" vertical="center"/>
    </xf>
    <xf numFmtId="0" fontId="85" fillId="23" borderId="35" applyNumberFormat="0" applyAlignment="0" applyProtection="0"/>
    <xf numFmtId="0" fontId="70" fillId="36" borderId="34" applyNumberFormat="0" applyAlignment="0" applyProtection="0"/>
    <xf numFmtId="0" fontId="72" fillId="36" borderId="35" applyNumberFormat="0" applyAlignment="0" applyProtection="0"/>
    <xf numFmtId="0" fontId="14" fillId="15" borderId="46">
      <alignment horizontal="left" vertical="center" wrapText="1" indent="2"/>
    </xf>
    <xf numFmtId="0" fontId="73" fillId="36" borderId="35" applyNumberFormat="0" applyAlignment="0" applyProtection="0"/>
    <xf numFmtId="0" fontId="73" fillId="36" borderId="35" applyNumberFormat="0" applyAlignment="0" applyProtection="0"/>
    <xf numFmtId="4" fontId="61" fillId="15" borderId="44">
      <alignment horizontal="right" vertical="center"/>
    </xf>
    <xf numFmtId="0" fontId="61" fillId="15" borderId="44">
      <alignment horizontal="right" vertical="center"/>
    </xf>
    <xf numFmtId="0" fontId="61" fillId="15" borderId="43">
      <alignment horizontal="right" vertical="center"/>
    </xf>
    <xf numFmtId="4" fontId="63" fillId="14" borderId="43">
      <alignment horizontal="right" vertical="center"/>
    </xf>
    <xf numFmtId="0" fontId="76" fillId="23" borderId="35" applyNumberFormat="0" applyAlignment="0" applyProtection="0"/>
    <xf numFmtId="0" fontId="77" fillId="0" borderId="37" applyNumberFormat="0" applyFill="0" applyAlignment="0" applyProtection="0"/>
    <xf numFmtId="0" fontId="92" fillId="0" borderId="37" applyNumberFormat="0" applyFill="0" applyAlignment="0" applyProtection="0"/>
    <xf numFmtId="0" fontId="67" fillId="39" borderId="42" applyNumberFormat="0" applyFont="0" applyAlignment="0" applyProtection="0"/>
    <xf numFmtId="0" fontId="85" fillId="23" borderId="35" applyNumberFormat="0" applyAlignment="0" applyProtection="0"/>
    <xf numFmtId="49" fontId="15" fillId="0" borderId="43" applyNumberFormat="0" applyFill="0" applyBorder="0" applyProtection="0">
      <alignment horizontal="left" vertical="center"/>
    </xf>
    <xf numFmtId="0" fontId="14" fillId="15" borderId="46">
      <alignment horizontal="left" vertical="center" wrapText="1" indent="2"/>
    </xf>
    <xf numFmtId="0" fontId="73" fillId="36" borderId="35" applyNumberFormat="0" applyAlignment="0" applyProtection="0"/>
    <xf numFmtId="0" fontId="14" fillId="0" borderId="46">
      <alignment horizontal="left" vertical="center" wrapText="1" indent="2"/>
    </xf>
    <xf numFmtId="0" fontId="67" fillId="39" borderId="42" applyNumberFormat="0" applyFont="0" applyAlignment="0" applyProtection="0"/>
    <xf numFmtId="0" fontId="19" fillId="39" borderId="42" applyNumberFormat="0" applyFont="0" applyAlignment="0" applyProtection="0"/>
    <xf numFmtId="0" fontId="89" fillId="36" borderId="34" applyNumberFormat="0" applyAlignment="0" applyProtection="0"/>
    <xf numFmtId="0" fontId="92" fillId="0" borderId="37" applyNumberFormat="0" applyFill="0" applyAlignment="0" applyProtection="0"/>
    <xf numFmtId="4" fontId="14" fillId="6" borderId="43"/>
    <xf numFmtId="0" fontId="61" fillId="15" borderId="43">
      <alignment horizontal="right" vertical="center"/>
    </xf>
    <xf numFmtId="0" fontId="92" fillId="0" borderId="37" applyNumberFormat="0" applyFill="0" applyAlignment="0" applyProtection="0"/>
    <xf numFmtId="4" fontId="61" fillId="15" borderId="45">
      <alignment horizontal="right" vertical="center"/>
    </xf>
    <xf numFmtId="0" fontId="72" fillId="36" borderId="35" applyNumberFormat="0" applyAlignment="0" applyProtection="0"/>
    <xf numFmtId="0" fontId="61" fillId="15" borderId="44">
      <alignment horizontal="right" vertical="center"/>
    </xf>
    <xf numFmtId="0" fontId="73" fillId="36" borderId="35" applyNumberFormat="0" applyAlignment="0" applyProtection="0"/>
    <xf numFmtId="0" fontId="77" fillId="0" borderId="37" applyNumberFormat="0" applyFill="0" applyAlignment="0" applyProtection="0"/>
    <xf numFmtId="0" fontId="67" fillId="39" borderId="42" applyNumberFormat="0" applyFont="0" applyAlignment="0" applyProtection="0"/>
    <xf numFmtId="4" fontId="61" fillId="15" borderId="44">
      <alignment horizontal="right" vertical="center"/>
    </xf>
    <xf numFmtId="0" fontId="14" fillId="15" borderId="46">
      <alignment horizontal="left" vertical="center" wrapText="1" indent="2"/>
    </xf>
    <xf numFmtId="0" fontId="14" fillId="6" borderId="43"/>
    <xf numFmtId="164" fontId="14" fillId="7" borderId="43" applyNumberFormat="0" applyFont="0" applyBorder="0" applyAlignment="0" applyProtection="0">
      <alignment horizontal="right" vertical="center"/>
    </xf>
    <xf numFmtId="0" fontId="14" fillId="0" borderId="43" applyNumberFormat="0" applyFill="0" applyAlignment="0" applyProtection="0"/>
    <xf numFmtId="4" fontId="14" fillId="0" borderId="43" applyFill="0" applyBorder="0" applyProtection="0">
      <alignment horizontal="right" vertical="center"/>
    </xf>
    <xf numFmtId="4" fontId="61" fillId="14" borderId="43">
      <alignment horizontal="right" vertical="center"/>
    </xf>
    <xf numFmtId="0" fontId="77" fillId="0" borderId="37" applyNumberFormat="0" applyFill="0" applyAlignment="0" applyProtection="0"/>
    <xf numFmtId="49" fontId="15" fillId="0" borderId="43" applyNumberFormat="0" applyFill="0" applyBorder="0" applyProtection="0">
      <alignment horizontal="left" vertical="center"/>
    </xf>
    <xf numFmtId="49" fontId="14" fillId="0" borderId="44" applyNumberFormat="0" applyFont="0" applyFill="0" applyBorder="0" applyProtection="0">
      <alignment horizontal="left" vertical="center" indent="5"/>
    </xf>
    <xf numFmtId="0" fontId="14" fillId="14" borderId="44">
      <alignment horizontal="left" vertical="center"/>
    </xf>
    <xf numFmtId="0" fontId="73" fillId="36" borderId="35" applyNumberFormat="0" applyAlignment="0" applyProtection="0"/>
    <xf numFmtId="4" fontId="61" fillId="15" borderId="45">
      <alignment horizontal="right" vertical="center"/>
    </xf>
    <xf numFmtId="0" fontId="85" fillId="23" borderId="35" applyNumberFormat="0" applyAlignment="0" applyProtection="0"/>
    <xf numFmtId="0" fontId="85" fillId="23" borderId="35" applyNumberFormat="0" applyAlignment="0" applyProtection="0"/>
    <xf numFmtId="0" fontId="67" fillId="39" borderId="42" applyNumberFormat="0" applyFont="0" applyAlignment="0" applyProtection="0"/>
    <xf numFmtId="0" fontId="89" fillId="36" borderId="34" applyNumberFormat="0" applyAlignment="0" applyProtection="0"/>
    <xf numFmtId="0" fontId="92" fillId="0" borderId="37" applyNumberFormat="0" applyFill="0" applyAlignment="0" applyProtection="0"/>
    <xf numFmtId="0" fontId="61" fillId="15" borderId="43">
      <alignment horizontal="right" vertical="center"/>
    </xf>
    <xf numFmtId="0" fontId="19" fillId="39" borderId="42" applyNumberFormat="0" applyFont="0" applyAlignment="0" applyProtection="0"/>
    <xf numFmtId="4" fontId="14" fillId="0" borderId="43">
      <alignment horizontal="right" vertical="center"/>
    </xf>
    <xf numFmtId="0" fontId="92" fillId="0" borderId="37" applyNumberFormat="0" applyFill="0" applyAlignment="0" applyProtection="0"/>
    <xf numFmtId="0" fontId="61" fillId="15" borderId="43">
      <alignment horizontal="right" vertical="center"/>
    </xf>
    <xf numFmtId="0" fontId="61" fillId="15" borderId="43">
      <alignment horizontal="right" vertical="center"/>
    </xf>
    <xf numFmtId="4" fontId="63" fillId="14" borderId="43">
      <alignment horizontal="right" vertical="center"/>
    </xf>
    <xf numFmtId="0" fontId="61" fillId="14" borderId="43">
      <alignment horizontal="right" vertical="center"/>
    </xf>
    <xf numFmtId="4" fontId="61" fillId="14" borderId="43">
      <alignment horizontal="right" vertical="center"/>
    </xf>
    <xf numFmtId="0" fontId="63" fillId="14" borderId="43">
      <alignment horizontal="right" vertical="center"/>
    </xf>
    <xf numFmtId="4" fontId="63" fillId="14" borderId="43">
      <alignment horizontal="right" vertical="center"/>
    </xf>
    <xf numFmtId="0" fontId="61" fillId="15" borderId="43">
      <alignment horizontal="right" vertical="center"/>
    </xf>
    <xf numFmtId="4" fontId="61" fillId="15" borderId="43">
      <alignment horizontal="right" vertical="center"/>
    </xf>
    <xf numFmtId="0" fontId="61" fillId="15" borderId="43">
      <alignment horizontal="right" vertical="center"/>
    </xf>
    <xf numFmtId="4" fontId="61" fillId="15" borderId="43">
      <alignment horizontal="right" vertical="center"/>
    </xf>
    <xf numFmtId="0" fontId="61" fillId="15" borderId="44">
      <alignment horizontal="right" vertical="center"/>
    </xf>
    <xf numFmtId="4" fontId="61" fillId="15" borderId="44">
      <alignment horizontal="right" vertical="center"/>
    </xf>
    <xf numFmtId="0" fontId="61" fillId="15" borderId="45">
      <alignment horizontal="right" vertical="center"/>
    </xf>
    <xf numFmtId="4" fontId="61" fillId="15" borderId="45">
      <alignment horizontal="right" vertical="center"/>
    </xf>
    <xf numFmtId="0" fontId="73" fillId="36" borderId="35" applyNumberFormat="0" applyAlignment="0" applyProtection="0"/>
    <xf numFmtId="0" fontId="14" fillId="15" borderId="46">
      <alignment horizontal="left" vertical="center" wrapText="1" indent="2"/>
    </xf>
    <xf numFmtId="0" fontId="14" fillId="0" borderId="46">
      <alignment horizontal="left" vertical="center" wrapText="1" indent="2"/>
    </xf>
    <xf numFmtId="0" fontId="14" fillId="14" borderId="44">
      <alignment horizontal="left" vertical="center"/>
    </xf>
    <xf numFmtId="0" fontId="85" fillId="23" borderId="35" applyNumberFormat="0" applyAlignment="0" applyProtection="0"/>
    <xf numFmtId="0" fontId="14" fillId="0" borderId="43">
      <alignment horizontal="right" vertical="center"/>
    </xf>
    <xf numFmtId="4" fontId="14" fillId="0" borderId="43">
      <alignment horizontal="right" vertical="center"/>
    </xf>
    <xf numFmtId="0" fontId="14" fillId="0" borderId="43" applyNumberFormat="0" applyFill="0" applyAlignment="0" applyProtection="0"/>
    <xf numFmtId="0" fontId="89" fillId="36" borderId="34" applyNumberFormat="0" applyAlignment="0" applyProtection="0"/>
    <xf numFmtId="164" fontId="14" fillId="7" borderId="43" applyNumberFormat="0" applyFont="0" applyBorder="0" applyAlignment="0" applyProtection="0">
      <alignment horizontal="right" vertical="center"/>
    </xf>
    <xf numFmtId="0" fontId="14" fillId="6" borderId="43"/>
    <xf numFmtId="4" fontId="14" fillId="6" borderId="43"/>
    <xf numFmtId="0" fontId="92" fillId="0" borderId="37" applyNumberFormat="0" applyFill="0" applyAlignment="0" applyProtection="0"/>
    <xf numFmtId="0" fontId="19" fillId="39" borderId="42" applyNumberFormat="0" applyFont="0" applyAlignment="0" applyProtection="0"/>
    <xf numFmtId="0" fontId="67" fillId="39" borderId="42" applyNumberFormat="0" applyFont="0" applyAlignment="0" applyProtection="0"/>
    <xf numFmtId="0" fontId="14" fillId="0" borderId="43" applyNumberFormat="0" applyFill="0" applyAlignment="0" applyProtection="0"/>
    <xf numFmtId="0" fontId="77" fillId="0" borderId="37" applyNumberFormat="0" applyFill="0" applyAlignment="0" applyProtection="0"/>
    <xf numFmtId="0" fontId="92" fillId="0" borderId="37" applyNumberFormat="0" applyFill="0" applyAlignment="0" applyProtection="0"/>
    <xf numFmtId="0" fontId="76" fillId="23" borderId="35" applyNumberFormat="0" applyAlignment="0" applyProtection="0"/>
    <xf numFmtId="0" fontId="73" fillId="36" borderId="35" applyNumberFormat="0" applyAlignment="0" applyProtection="0"/>
    <xf numFmtId="4" fontId="63" fillId="14" borderId="43">
      <alignment horizontal="right" vertical="center"/>
    </xf>
    <xf numFmtId="0" fontId="61" fillId="14" borderId="43">
      <alignment horizontal="right" vertical="center"/>
    </xf>
    <xf numFmtId="164" fontId="14" fillId="7" borderId="43" applyNumberFormat="0" applyFont="0" applyBorder="0" applyAlignment="0" applyProtection="0">
      <alignment horizontal="right" vertical="center"/>
    </xf>
    <xf numFmtId="0" fontId="77" fillId="0" borderId="37" applyNumberFormat="0" applyFill="0" applyAlignment="0" applyProtection="0"/>
    <xf numFmtId="49" fontId="14" fillId="0" borderId="43" applyNumberFormat="0" applyFont="0" applyFill="0" applyBorder="0" applyProtection="0">
      <alignment horizontal="left" vertical="center" indent="2"/>
    </xf>
    <xf numFmtId="49" fontId="14" fillId="0" borderId="44" applyNumberFormat="0" applyFont="0" applyFill="0" applyBorder="0" applyProtection="0">
      <alignment horizontal="left" vertical="center" indent="5"/>
    </xf>
    <xf numFmtId="49" fontId="14" fillId="0" borderId="43" applyNumberFormat="0" applyFont="0" applyFill="0" applyBorder="0" applyProtection="0">
      <alignment horizontal="left" vertical="center" indent="2"/>
    </xf>
    <xf numFmtId="4" fontId="14" fillId="0" borderId="43" applyFill="0" applyBorder="0" applyProtection="0">
      <alignment horizontal="right" vertical="center"/>
    </xf>
    <xf numFmtId="49" fontId="15" fillId="0" borderId="43" applyNumberFormat="0" applyFill="0" applyBorder="0" applyProtection="0">
      <alignment horizontal="left" vertical="center"/>
    </xf>
    <xf numFmtId="0" fontId="14" fillId="0" borderId="46">
      <alignment horizontal="left" vertical="center" wrapText="1" indent="2"/>
    </xf>
    <xf numFmtId="0" fontId="89" fillId="36" borderId="34" applyNumberFormat="0" applyAlignment="0" applyProtection="0"/>
    <xf numFmtId="0" fontId="61" fillId="15" borderId="45">
      <alignment horizontal="right" vertical="center"/>
    </xf>
    <xf numFmtId="0" fontId="76" fillId="23" borderId="35" applyNumberFormat="0" applyAlignment="0" applyProtection="0"/>
    <xf numFmtId="0" fontId="61" fillId="15" borderId="45">
      <alignment horizontal="right" vertical="center"/>
    </xf>
    <xf numFmtId="4" fontId="61" fillId="15" borderId="43">
      <alignment horizontal="right" vertical="center"/>
    </xf>
    <xf numFmtId="0" fontId="61" fillId="15" borderId="43">
      <alignment horizontal="right" vertical="center"/>
    </xf>
    <xf numFmtId="0" fontId="70" fillId="36" borderId="34" applyNumberFormat="0" applyAlignment="0" applyProtection="0"/>
    <xf numFmtId="0" fontId="72" fillId="36" borderId="35" applyNumberFormat="0" applyAlignment="0" applyProtection="0"/>
    <xf numFmtId="0" fontId="77" fillId="0" borderId="37" applyNumberFormat="0" applyFill="0" applyAlignment="0" applyProtection="0"/>
    <xf numFmtId="0" fontId="14" fillId="6" borderId="43"/>
    <xf numFmtId="4" fontId="14" fillId="6" borderId="43"/>
    <xf numFmtId="4" fontId="61" fillId="15" borderId="43">
      <alignment horizontal="right" vertical="center"/>
    </xf>
    <xf numFmtId="0" fontId="63" fillId="14" borderId="43">
      <alignment horizontal="right" vertical="center"/>
    </xf>
    <xf numFmtId="0" fontId="76" fillId="23" borderId="35" applyNumberFormat="0" applyAlignment="0" applyProtection="0"/>
    <xf numFmtId="0" fontId="73" fillId="36" borderId="35" applyNumberFormat="0" applyAlignment="0" applyProtection="0"/>
    <xf numFmtId="4" fontId="14" fillId="0" borderId="43">
      <alignment horizontal="right" vertical="center"/>
    </xf>
    <xf numFmtId="0" fontId="14" fillId="15" borderId="46">
      <alignment horizontal="left" vertical="center" wrapText="1" indent="2"/>
    </xf>
    <xf numFmtId="0" fontId="14" fillId="0" borderId="46">
      <alignment horizontal="left" vertical="center" wrapText="1" indent="2"/>
    </xf>
    <xf numFmtId="0" fontId="89" fillId="36" borderId="34" applyNumberFormat="0" applyAlignment="0" applyProtection="0"/>
    <xf numFmtId="0" fontId="85" fillId="23" borderId="35" applyNumberFormat="0" applyAlignment="0" applyProtection="0"/>
    <xf numFmtId="0" fontId="72" fillId="36" borderId="35" applyNumberFormat="0" applyAlignment="0" applyProtection="0"/>
    <xf numFmtId="0" fontId="70" fillId="36" borderId="34" applyNumberFormat="0" applyAlignment="0" applyProtection="0"/>
    <xf numFmtId="0" fontId="61" fillId="15" borderId="45">
      <alignment horizontal="right" vertical="center"/>
    </xf>
    <xf numFmtId="0" fontId="63" fillId="14" borderId="43">
      <alignment horizontal="right" vertical="center"/>
    </xf>
    <xf numFmtId="4" fontId="61" fillId="14" borderId="43">
      <alignment horizontal="right" vertical="center"/>
    </xf>
    <xf numFmtId="4" fontId="61" fillId="15" borderId="43">
      <alignment horizontal="right" vertical="center"/>
    </xf>
    <xf numFmtId="49" fontId="14" fillId="0" borderId="44" applyNumberFormat="0" applyFont="0" applyFill="0" applyBorder="0" applyProtection="0">
      <alignment horizontal="left" vertical="center" indent="5"/>
    </xf>
    <xf numFmtId="4" fontId="14" fillId="0" borderId="43" applyFill="0" applyBorder="0" applyProtection="0">
      <alignment horizontal="right" vertical="center"/>
    </xf>
    <xf numFmtId="4" fontId="61" fillId="14" borderId="43">
      <alignment horizontal="right" vertical="center"/>
    </xf>
    <xf numFmtId="0" fontId="85" fillId="23" borderId="35" applyNumberFormat="0" applyAlignment="0" applyProtection="0"/>
    <xf numFmtId="0" fontId="76" fillId="23" borderId="35" applyNumberFormat="0" applyAlignment="0" applyProtection="0"/>
    <xf numFmtId="0" fontId="72" fillId="36" borderId="35" applyNumberFormat="0" applyAlignment="0" applyProtection="0"/>
    <xf numFmtId="0" fontId="14" fillId="15" borderId="46">
      <alignment horizontal="left" vertical="center" wrapText="1" indent="2"/>
    </xf>
    <xf numFmtId="0" fontId="14" fillId="0" borderId="46">
      <alignment horizontal="left" vertical="center" wrapText="1" indent="2"/>
    </xf>
    <xf numFmtId="0" fontId="14" fillId="15" borderId="46">
      <alignment horizontal="left" vertical="center" wrapText="1" indent="2"/>
    </xf>
    <xf numFmtId="0" fontId="14" fillId="0" borderId="46">
      <alignment horizontal="left" vertical="center" wrapText="1" indent="2"/>
    </xf>
    <xf numFmtId="4" fontId="19" fillId="0" borderId="0"/>
    <xf numFmtId="0" fontId="114" fillId="0" borderId="0"/>
    <xf numFmtId="0" fontId="35" fillId="0" borderId="0"/>
    <xf numFmtId="0" fontId="115" fillId="0" borderId="0"/>
    <xf numFmtId="0" fontId="117" fillId="41" borderId="49"/>
    <xf numFmtId="4" fontId="116" fillId="41" borderId="51"/>
    <xf numFmtId="0" fontId="116" fillId="41" borderId="44"/>
    <xf numFmtId="4" fontId="116" fillId="41" borderId="43"/>
    <xf numFmtId="4" fontId="116" fillId="0" borderId="43"/>
    <xf numFmtId="4" fontId="116" fillId="42" borderId="43"/>
    <xf numFmtId="0" fontId="116" fillId="41" borderId="44"/>
    <xf numFmtId="4" fontId="116" fillId="42" borderId="53"/>
    <xf numFmtId="4" fontId="116" fillId="44" borderId="43"/>
    <xf numFmtId="4" fontId="116" fillId="44" borderId="43"/>
    <xf numFmtId="4" fontId="116" fillId="44" borderId="3"/>
    <xf numFmtId="0" fontId="116" fillId="43" borderId="54"/>
    <xf numFmtId="4" fontId="116" fillId="0" borderId="43"/>
    <xf numFmtId="4" fontId="116" fillId="41" borderId="44"/>
    <xf numFmtId="4" fontId="116" fillId="42" borderId="43"/>
    <xf numFmtId="0" fontId="116" fillId="0" borderId="0"/>
    <xf numFmtId="4" fontId="116" fillId="41" borderId="43"/>
    <xf numFmtId="4" fontId="116" fillId="44" borderId="21"/>
    <xf numFmtId="0" fontId="117" fillId="44" borderId="29"/>
    <xf numFmtId="4" fontId="116" fillId="43" borderId="50"/>
    <xf numFmtId="0" fontId="118" fillId="0" borderId="0"/>
    <xf numFmtId="4" fontId="116" fillId="45" borderId="44"/>
    <xf numFmtId="0" fontId="119" fillId="0" borderId="0"/>
    <xf numFmtId="0" fontId="115" fillId="0" borderId="0"/>
    <xf numFmtId="0" fontId="116" fillId="43" borderId="54"/>
    <xf numFmtId="0" fontId="116" fillId="43" borderId="54"/>
    <xf numFmtId="0" fontId="116" fillId="43" borderId="54"/>
    <xf numFmtId="0" fontId="116" fillId="43" borderId="54"/>
    <xf numFmtId="0" fontId="116" fillId="43" borderId="54"/>
    <xf numFmtId="0" fontId="116" fillId="43" borderId="54"/>
  </cellStyleXfs>
  <cellXfs count="556">
    <xf numFmtId="0" fontId="0" fillId="0" borderId="0" xfId="0"/>
    <xf numFmtId="0" fontId="3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4" fillId="0" borderId="0" xfId="0" applyFont="1" applyFill="1" applyAlignment="1">
      <alignment horizontal="center" wrapText="1"/>
    </xf>
    <xf numFmtId="0" fontId="4" fillId="2" borderId="0" xfId="0" applyFont="1" applyFill="1" applyAlignment="1">
      <alignment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0" fillId="0" borderId="0" xfId="0" applyBorder="1"/>
    <xf numFmtId="0" fontId="4" fillId="3" borderId="0" xfId="0" applyFont="1" applyFill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Fill="1" applyBorder="1" applyAlignment="1">
      <alignment horizontal="right" indent="1"/>
    </xf>
    <xf numFmtId="0" fontId="0" fillId="0" borderId="0" xfId="0" applyFill="1" applyBorder="1"/>
    <xf numFmtId="0" fontId="6" fillId="4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right" indent="1"/>
    </xf>
    <xf numFmtId="0" fontId="0" fillId="0" borderId="0" xfId="0" applyFill="1"/>
    <xf numFmtId="0" fontId="0" fillId="0" borderId="0" xfId="0" applyAlignment="1"/>
    <xf numFmtId="0" fontId="6" fillId="4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6" fillId="3" borderId="0" xfId="0" applyFont="1" applyFill="1" applyAlignment="1">
      <alignment horizontal="center"/>
    </xf>
    <xf numFmtId="0" fontId="0" fillId="0" borderId="0" xfId="0" applyBorder="1" applyAlignment="1"/>
    <xf numFmtId="0" fontId="11" fillId="0" borderId="0" xfId="0" applyFont="1" applyFill="1" applyAlignment="1">
      <alignment horizontal="center"/>
    </xf>
    <xf numFmtId="0" fontId="11" fillId="0" borderId="0" xfId="0" applyFont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/>
    <xf numFmtId="0" fontId="12" fillId="0" borderId="0" xfId="0" applyFont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25" fillId="2" borderId="0" xfId="0" applyFont="1" applyFill="1" applyBorder="1" applyAlignment="1">
      <alignment horizontal="center" wrapText="1"/>
    </xf>
    <xf numFmtId="4" fontId="5" fillId="0" borderId="0" xfId="0" applyNumberFormat="1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center"/>
    </xf>
    <xf numFmtId="4" fontId="27" fillId="0" borderId="0" xfId="77" applyNumberFormat="1" applyFont="1" applyFill="1" applyBorder="1" applyAlignment="1">
      <alignment horizontal="center" vertical="center" wrapText="1"/>
    </xf>
    <xf numFmtId="4" fontId="27" fillId="0" borderId="0" xfId="77" applyNumberFormat="1" applyFont="1" applyFill="1" applyBorder="1" applyAlignment="1">
      <alignment horizontal="center" wrapText="1"/>
    </xf>
    <xf numFmtId="4" fontId="6" fillId="0" borderId="0" xfId="77" applyNumberFormat="1" applyFont="1" applyFill="1" applyBorder="1" applyAlignment="1">
      <alignment horizontal="center" wrapText="1"/>
    </xf>
    <xf numFmtId="4" fontId="27" fillId="3" borderId="0" xfId="77" applyNumberFormat="1" applyFont="1" applyFill="1" applyBorder="1" applyAlignment="1">
      <alignment horizontal="center" vertical="center" wrapText="1"/>
    </xf>
    <xf numFmtId="4" fontId="6" fillId="3" borderId="0" xfId="0" applyNumberFormat="1" applyFont="1" applyFill="1" applyAlignment="1">
      <alignment horizontal="center"/>
    </xf>
    <xf numFmtId="4" fontId="6" fillId="0" borderId="0" xfId="65" applyNumberFormat="1" applyFont="1" applyFill="1" applyBorder="1" applyAlignment="1">
      <alignment horizontal="center" wrapText="1"/>
    </xf>
    <xf numFmtId="4" fontId="6" fillId="0" borderId="0" xfId="0" applyNumberFormat="1" applyFont="1" applyFill="1" applyAlignment="1">
      <alignment horizontal="center"/>
    </xf>
    <xf numFmtId="4" fontId="6" fillId="4" borderId="0" xfId="0" applyNumberFormat="1" applyFont="1" applyFill="1" applyAlignment="1">
      <alignment horizontal="center"/>
    </xf>
    <xf numFmtId="4" fontId="6" fillId="3" borderId="0" xfId="0" applyNumberFormat="1" applyFont="1" applyFill="1" applyBorder="1" applyAlignment="1">
      <alignment horizontal="center"/>
    </xf>
    <xf numFmtId="4" fontId="6" fillId="0" borderId="0" xfId="0" applyNumberFormat="1" applyFont="1" applyAlignment="1">
      <alignment horizontal="center"/>
    </xf>
    <xf numFmtId="0" fontId="2" fillId="0" borderId="0" xfId="0" applyFont="1"/>
    <xf numFmtId="0" fontId="26" fillId="2" borderId="0" xfId="0" applyFont="1" applyFill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4" borderId="0" xfId="0" applyFill="1"/>
    <xf numFmtId="0" fontId="11" fillId="4" borderId="0" xfId="0" applyFont="1" applyFill="1" applyBorder="1" applyAlignment="1">
      <alignment horizontal="center" wrapText="1"/>
    </xf>
    <xf numFmtId="3" fontId="27" fillId="0" borderId="0" xfId="77" applyNumberFormat="1" applyFont="1" applyFill="1" applyBorder="1" applyAlignment="1">
      <alignment horizontal="center" wrapText="1"/>
    </xf>
    <xf numFmtId="3" fontId="6" fillId="0" borderId="0" xfId="77" applyNumberFormat="1" applyFont="1" applyFill="1" applyBorder="1" applyAlignment="1">
      <alignment horizontal="center" wrapText="1"/>
    </xf>
    <xf numFmtId="3" fontId="0" fillId="0" borderId="0" xfId="0" applyNumberFormat="1"/>
    <xf numFmtId="0" fontId="25" fillId="3" borderId="0" xfId="0" applyFont="1" applyFill="1" applyBorder="1" applyAlignment="1">
      <alignment horizontal="center" wrapText="1"/>
    </xf>
    <xf numFmtId="3" fontId="30" fillId="3" borderId="0" xfId="77" applyNumberFormat="1" applyFont="1" applyFill="1" applyBorder="1" applyAlignment="1">
      <alignment horizontal="center" vertical="center" wrapText="1"/>
    </xf>
    <xf numFmtId="0" fontId="3" fillId="0" borderId="0" xfId="0" applyFont="1"/>
    <xf numFmtId="4" fontId="5" fillId="0" borderId="0" xfId="0" applyNumberFormat="1" applyFont="1" applyAlignment="1">
      <alignment horizontal="center"/>
    </xf>
    <xf numFmtId="4" fontId="33" fillId="0" borderId="0" xfId="0" applyNumberFormat="1" applyFont="1" applyFill="1" applyBorder="1" applyAlignment="1">
      <alignment horizontal="center"/>
    </xf>
    <xf numFmtId="0" fontId="6" fillId="4" borderId="0" xfId="0" applyFont="1" applyFill="1"/>
    <xf numFmtId="4" fontId="33" fillId="0" borderId="0" xfId="0" applyNumberFormat="1" applyFont="1" applyAlignment="1">
      <alignment horizontal="center"/>
    </xf>
    <xf numFmtId="4" fontId="6" fillId="0" borderId="0" xfId="77" applyNumberFormat="1" applyFont="1" applyBorder="1" applyAlignment="1">
      <alignment horizontal="center" wrapText="1"/>
    </xf>
    <xf numFmtId="0" fontId="32" fillId="0" borderId="0" xfId="0" applyFont="1" applyFill="1" applyAlignment="1">
      <alignment horizontal="center"/>
    </xf>
    <xf numFmtId="0" fontId="29" fillId="0" borderId="0" xfId="0" applyFont="1" applyFill="1" applyBorder="1" applyAlignment="1">
      <alignment horizontal="center"/>
    </xf>
    <xf numFmtId="0" fontId="33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4" fillId="8" borderId="0" xfId="0" applyFont="1" applyFill="1" applyAlignment="1">
      <alignment horizontal="center"/>
    </xf>
    <xf numFmtId="0" fontId="3" fillId="8" borderId="0" xfId="0" applyFont="1" applyFill="1" applyAlignment="1">
      <alignment horizontal="center" vertical="top"/>
    </xf>
    <xf numFmtId="0" fontId="6" fillId="8" borderId="0" xfId="0" applyFont="1" applyFill="1" applyAlignment="1">
      <alignment horizontal="center"/>
    </xf>
    <xf numFmtId="0" fontId="29" fillId="8" borderId="0" xfId="0" applyFont="1" applyFill="1" applyAlignment="1">
      <alignment horizontal="center"/>
    </xf>
    <xf numFmtId="0" fontId="0" fillId="8" borderId="0" xfId="0" applyFill="1"/>
    <xf numFmtId="4" fontId="6" fillId="0" borderId="0" xfId="0" applyNumberFormat="1" applyFont="1" applyBorder="1" applyAlignment="1">
      <alignment horizontal="center"/>
    </xf>
    <xf numFmtId="4" fontId="29" fillId="0" borderId="0" xfId="0" applyNumberFormat="1" applyFont="1" applyFill="1" applyAlignment="1">
      <alignment horizontal="center"/>
    </xf>
    <xf numFmtId="4" fontId="6" fillId="4" borderId="0" xfId="0" applyNumberFormat="1" applyFont="1" applyFill="1" applyBorder="1" applyAlignment="1">
      <alignment horizontal="center"/>
    </xf>
    <xf numFmtId="4" fontId="34" fillId="0" borderId="0" xfId="0" applyNumberFormat="1" applyFont="1" applyFill="1" applyBorder="1" applyAlignment="1">
      <alignment horizontal="center"/>
    </xf>
    <xf numFmtId="0" fontId="6" fillId="0" borderId="0" xfId="0" applyFont="1" applyFill="1"/>
    <xf numFmtId="4" fontId="27" fillId="0" borderId="0" xfId="77" applyNumberFormat="1" applyFont="1" applyBorder="1" applyAlignment="1">
      <alignment horizontal="center" wrapText="1"/>
    </xf>
    <xf numFmtId="4" fontId="27" fillId="0" borderId="0" xfId="65" applyNumberFormat="1" applyFont="1" applyBorder="1" applyAlignment="1">
      <alignment horizontal="center" vertical="center" wrapText="1"/>
    </xf>
    <xf numFmtId="4" fontId="27" fillId="0" borderId="0" xfId="65" applyNumberFormat="1" applyFont="1" applyBorder="1" applyAlignment="1">
      <alignment horizontal="center" wrapText="1"/>
    </xf>
    <xf numFmtId="4" fontId="6" fillId="0" borderId="0" xfId="65" applyNumberFormat="1" applyFont="1" applyBorder="1" applyAlignment="1">
      <alignment horizontal="center" wrapText="1"/>
    </xf>
    <xf numFmtId="4" fontId="5" fillId="4" borderId="0" xfId="0" applyNumberFormat="1" applyFont="1" applyFill="1" applyBorder="1" applyAlignment="1">
      <alignment horizontal="center"/>
    </xf>
    <xf numFmtId="4" fontId="27" fillId="0" borderId="0" xfId="65" applyNumberFormat="1" applyFont="1" applyFill="1" applyBorder="1" applyAlignment="1">
      <alignment horizontal="center" vertical="center" wrapText="1"/>
    </xf>
    <xf numFmtId="4" fontId="27" fillId="0" borderId="0" xfId="65" applyNumberFormat="1" applyFont="1" applyFill="1" applyBorder="1" applyAlignment="1">
      <alignment horizontal="center" wrapText="1"/>
    </xf>
    <xf numFmtId="4" fontId="34" fillId="0" borderId="0" xfId="0" applyNumberFormat="1" applyFont="1" applyFill="1" applyAlignment="1">
      <alignment horizontal="center"/>
    </xf>
    <xf numFmtId="165" fontId="6" fillId="0" borderId="0" xfId="0" applyNumberFormat="1" applyFont="1" applyAlignment="1">
      <alignment horizontal="center"/>
    </xf>
    <xf numFmtId="4" fontId="27" fillId="0" borderId="0" xfId="77" applyNumberFormat="1" applyFont="1" applyBorder="1" applyAlignment="1">
      <alignment horizontal="center" vertical="center" wrapText="1"/>
    </xf>
    <xf numFmtId="4" fontId="29" fillId="0" borderId="0" xfId="0" applyNumberFormat="1" applyFont="1" applyFill="1" applyBorder="1" applyAlignment="1">
      <alignment horizontal="center"/>
    </xf>
    <xf numFmtId="4" fontId="38" fillId="4" borderId="0" xfId="0" applyNumberFormat="1" applyFont="1" applyFill="1" applyBorder="1" applyAlignment="1">
      <alignment horizontal="center"/>
    </xf>
    <xf numFmtId="2" fontId="6" fillId="0" borderId="0" xfId="0" applyNumberFormat="1" applyFont="1" applyAlignment="1">
      <alignment horizontal="center"/>
    </xf>
    <xf numFmtId="4" fontId="6" fillId="4" borderId="0" xfId="0" applyNumberFormat="1" applyFont="1" applyFill="1"/>
    <xf numFmtId="0" fontId="34" fillId="2" borderId="0" xfId="0" applyFont="1" applyFill="1" applyBorder="1" applyAlignment="1">
      <alignment horizontal="center"/>
    </xf>
    <xf numFmtId="0" fontId="34" fillId="2" borderId="0" xfId="0" applyFont="1" applyFill="1" applyBorder="1" applyAlignment="1">
      <alignment horizontal="center" wrapText="1"/>
    </xf>
    <xf numFmtId="0" fontId="34" fillId="0" borderId="0" xfId="0" applyFont="1" applyFill="1" applyAlignment="1">
      <alignment horizontal="center" wrapText="1"/>
    </xf>
    <xf numFmtId="0" fontId="34" fillId="3" borderId="0" xfId="0" applyFont="1" applyFill="1" applyAlignment="1">
      <alignment horizontal="center" wrapText="1"/>
    </xf>
    <xf numFmtId="0" fontId="34" fillId="0" borderId="0" xfId="0" applyFont="1" applyFill="1" applyBorder="1" applyAlignment="1">
      <alignment horizontal="center" wrapText="1"/>
    </xf>
    <xf numFmtId="0" fontId="29" fillId="0" borderId="0" xfId="0" applyFont="1"/>
    <xf numFmtId="0" fontId="6" fillId="0" borderId="0" xfId="0" applyFont="1" applyFill="1" applyAlignment="1">
      <alignment wrapText="1"/>
    </xf>
    <xf numFmtId="0" fontId="6" fillId="0" borderId="0" xfId="0" applyFont="1" applyFill="1" applyAlignment="1">
      <alignment vertical="center" wrapText="1"/>
    </xf>
    <xf numFmtId="0" fontId="34" fillId="0" borderId="0" xfId="0" applyFont="1" applyFill="1" applyBorder="1" applyAlignment="1">
      <alignment horizontal="center"/>
    </xf>
    <xf numFmtId="0" fontId="34" fillId="0" borderId="0" xfId="0" applyFont="1" applyFill="1" applyBorder="1"/>
    <xf numFmtId="3" fontId="27" fillId="0" borderId="0" xfId="65" applyNumberFormat="1" applyFont="1" applyFill="1" applyBorder="1" applyAlignment="1">
      <alignment horizontal="center" vertical="center" wrapText="1"/>
    </xf>
    <xf numFmtId="3" fontId="27" fillId="0" borderId="0" xfId="65" applyNumberFormat="1" applyFont="1" applyFill="1" applyBorder="1" applyAlignment="1">
      <alignment horizontal="center" wrapText="1"/>
    </xf>
    <xf numFmtId="3" fontId="6" fillId="0" borderId="0" xfId="65" applyNumberFormat="1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/>
    </xf>
    <xf numFmtId="3" fontId="6" fillId="0" borderId="0" xfId="0" applyNumberFormat="1" applyFont="1" applyFill="1"/>
    <xf numFmtId="0" fontId="6" fillId="0" borderId="0" xfId="0" applyFont="1" applyFill="1" applyAlignment="1">
      <alignment vertical="top" wrapText="1"/>
    </xf>
    <xf numFmtId="0" fontId="34" fillId="0" borderId="0" xfId="0" applyFont="1" applyAlignment="1">
      <alignment horizontal="center"/>
    </xf>
    <xf numFmtId="0" fontId="4" fillId="2" borderId="0" xfId="0" applyFont="1" applyFill="1" applyAlignment="1">
      <alignment horizontal="right" wrapText="1"/>
    </xf>
    <xf numFmtId="3" fontId="30" fillId="8" borderId="0" xfId="77" applyNumberFormat="1" applyFont="1" applyFill="1" applyBorder="1" applyAlignment="1">
      <alignment horizontal="center" vertical="center" wrapText="1"/>
    </xf>
    <xf numFmtId="0" fontId="40" fillId="2" borderId="0" xfId="0" applyFont="1" applyFill="1" applyBorder="1" applyAlignment="1">
      <alignment horizontal="center"/>
    </xf>
    <xf numFmtId="4" fontId="6" fillId="0" borderId="0" xfId="0" applyNumberFormat="1" applyFont="1" applyAlignment="1">
      <alignment horizontal="center" wrapText="1"/>
    </xf>
    <xf numFmtId="0" fontId="13" fillId="0" borderId="0" xfId="0" applyFont="1" applyAlignment="1">
      <alignment horizontal="center"/>
    </xf>
    <xf numFmtId="0" fontId="13" fillId="0" borderId="0" xfId="0" applyFont="1" applyBorder="1" applyAlignment="1">
      <alignment horizontal="center"/>
    </xf>
    <xf numFmtId="0" fontId="43" fillId="2" borderId="0" xfId="0" applyFont="1" applyFill="1" applyBorder="1" applyAlignment="1">
      <alignment horizontal="center" wrapText="1"/>
    </xf>
    <xf numFmtId="3" fontId="44" fillId="0" borderId="0" xfId="0" applyNumberFormat="1" applyFont="1" applyBorder="1" applyAlignment="1">
      <alignment horizontal="center" wrapText="1"/>
    </xf>
    <xf numFmtId="4" fontId="5" fillId="0" borderId="0" xfId="0" applyNumberFormat="1" applyFont="1" applyAlignment="1">
      <alignment horizontal="center" wrapText="1"/>
    </xf>
    <xf numFmtId="0" fontId="13" fillId="8" borderId="4" xfId="0" applyFont="1" applyFill="1" applyBorder="1"/>
    <xf numFmtId="4" fontId="13" fillId="3" borderId="0" xfId="0" applyNumberFormat="1" applyFont="1" applyFill="1" applyAlignment="1">
      <alignment horizontal="center"/>
    </xf>
    <xf numFmtId="0" fontId="44" fillId="4" borderId="0" xfId="0" applyFont="1" applyFill="1"/>
    <xf numFmtId="1" fontId="6" fillId="3" borderId="0" xfId="0" applyNumberFormat="1" applyFont="1" applyFill="1" applyBorder="1" applyAlignment="1">
      <alignment horizontal="center"/>
    </xf>
    <xf numFmtId="3" fontId="30" fillId="4" borderId="0" xfId="77" applyNumberFormat="1" applyFont="1" applyFill="1" applyBorder="1" applyAlignment="1">
      <alignment horizontal="center" vertical="center" wrapText="1"/>
    </xf>
    <xf numFmtId="3" fontId="11" fillId="4" borderId="0" xfId="0" applyNumberFormat="1" applyFont="1" applyFill="1" applyAlignment="1">
      <alignment horizontal="center" wrapText="1"/>
    </xf>
    <xf numFmtId="4" fontId="13" fillId="0" borderId="0" xfId="0" applyNumberFormat="1" applyFont="1" applyBorder="1" applyAlignment="1">
      <alignment horizontal="center"/>
    </xf>
    <xf numFmtId="4" fontId="13" fillId="8" borderId="0" xfId="0" applyNumberFormat="1" applyFont="1" applyFill="1" applyBorder="1" applyAlignment="1">
      <alignment horizontal="center"/>
    </xf>
    <xf numFmtId="4" fontId="13" fillId="3" borderId="0" xfId="77" applyNumberFormat="1" applyFont="1" applyFill="1" applyBorder="1" applyAlignment="1">
      <alignment horizontal="center" vertical="center" wrapText="1"/>
    </xf>
    <xf numFmtId="4" fontId="40" fillId="8" borderId="0" xfId="0" applyNumberFormat="1" applyFont="1" applyFill="1" applyBorder="1" applyAlignment="1">
      <alignment horizontal="center"/>
    </xf>
    <xf numFmtId="0" fontId="13" fillId="8" borderId="0" xfId="0" applyFont="1" applyFill="1" applyBorder="1"/>
    <xf numFmtId="0" fontId="13" fillId="0" borderId="0" xfId="0" applyFont="1" applyBorder="1"/>
    <xf numFmtId="0" fontId="10" fillId="0" borderId="7" xfId="0" applyFont="1" applyFill="1" applyBorder="1" applyAlignment="1">
      <alignment horizontal="right" vertical="center" indent="1"/>
    </xf>
    <xf numFmtId="0" fontId="8" fillId="0" borderId="8" xfId="0" applyFont="1" applyFill="1" applyBorder="1" applyAlignment="1">
      <alignment horizontal="right" vertical="center" indent="1"/>
    </xf>
    <xf numFmtId="0" fontId="10" fillId="0" borderId="8" xfId="0" applyFont="1" applyFill="1" applyBorder="1" applyAlignment="1">
      <alignment horizontal="right" vertical="center" indent="1"/>
    </xf>
    <xf numFmtId="0" fontId="10" fillId="0" borderId="9" xfId="0" applyFont="1" applyFill="1" applyBorder="1" applyAlignment="1">
      <alignment horizontal="right" vertical="center" indent="1"/>
    </xf>
    <xf numFmtId="0" fontId="10" fillId="0" borderId="0" xfId="0" applyFont="1" applyFill="1" applyBorder="1" applyAlignment="1">
      <alignment horizontal="right" vertical="center" indent="1"/>
    </xf>
    <xf numFmtId="0" fontId="8" fillId="0" borderId="0" xfId="0" applyFont="1" applyFill="1" applyBorder="1" applyAlignment="1">
      <alignment horizontal="right" vertical="center" indent="1"/>
    </xf>
    <xf numFmtId="4" fontId="0" fillId="0" borderId="0" xfId="0" applyNumberFormat="1"/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right" vertical="center" indent="1"/>
    </xf>
    <xf numFmtId="4" fontId="0" fillId="0" borderId="0" xfId="0" applyNumberFormat="1" applyFill="1" applyBorder="1" applyAlignment="1">
      <alignment horizontal="right" vertical="center" indent="1"/>
    </xf>
    <xf numFmtId="0" fontId="6" fillId="0" borderId="0" xfId="0" applyFont="1" applyFill="1" applyBorder="1"/>
    <xf numFmtId="0" fontId="37" fillId="0" borderId="0" xfId="0" applyFont="1" applyAlignment="1">
      <alignment wrapText="1"/>
    </xf>
    <xf numFmtId="0" fontId="10" fillId="0" borderId="0" xfId="0" applyFont="1" applyFill="1" applyBorder="1" applyAlignment="1">
      <alignment horizontal="right" vertical="center" wrapText="1"/>
    </xf>
    <xf numFmtId="4" fontId="13" fillId="8" borderId="0" xfId="0" applyNumberFormat="1" applyFont="1" applyFill="1" applyBorder="1" applyAlignment="1">
      <alignment horizontal="center" wrapText="1"/>
    </xf>
    <xf numFmtId="0" fontId="45" fillId="0" borderId="0" xfId="0" applyFont="1" applyFill="1" applyBorder="1" applyAlignment="1">
      <alignment horizontal="right" vertical="center" indent="1"/>
    </xf>
    <xf numFmtId="0" fontId="46" fillId="0" borderId="0" xfId="0" applyFont="1" applyFill="1" applyBorder="1" applyAlignment="1">
      <alignment horizontal="right" vertical="center" indent="1"/>
    </xf>
    <xf numFmtId="0" fontId="48" fillId="0" borderId="8" xfId="0" applyFont="1" applyFill="1" applyBorder="1" applyAlignment="1">
      <alignment horizontal="right" vertical="center" indent="1"/>
    </xf>
    <xf numFmtId="0" fontId="47" fillId="0" borderId="0" xfId="0" applyFont="1" applyFill="1" applyAlignment="1">
      <alignment horizontal="center" vertical="center" wrapText="1"/>
    </xf>
    <xf numFmtId="0" fontId="48" fillId="0" borderId="0" xfId="0" applyFont="1" applyFill="1" applyBorder="1" applyAlignment="1">
      <alignment horizontal="right" vertical="center" wrapText="1" indent="1"/>
    </xf>
    <xf numFmtId="0" fontId="48" fillId="0" borderId="0" xfId="0" applyFont="1" applyFill="1" applyBorder="1" applyAlignment="1">
      <alignment horizontal="right" vertical="center" indent="1"/>
    </xf>
    <xf numFmtId="0" fontId="49" fillId="0" borderId="0" xfId="0" applyFont="1" applyFill="1" applyBorder="1" applyAlignment="1">
      <alignment horizontal="right" vertical="center" indent="1"/>
    </xf>
    <xf numFmtId="0" fontId="44" fillId="0" borderId="0" xfId="0" applyFont="1"/>
    <xf numFmtId="3" fontId="50" fillId="0" borderId="0" xfId="0" applyNumberFormat="1" applyFont="1" applyFill="1" applyAlignment="1">
      <alignment wrapText="1"/>
    </xf>
    <xf numFmtId="0" fontId="13" fillId="0" borderId="0" xfId="0" applyFont="1"/>
    <xf numFmtId="0" fontId="13" fillId="0" borderId="0" xfId="0" applyFont="1" applyFill="1"/>
    <xf numFmtId="0" fontId="47" fillId="0" borderId="0" xfId="0" applyFont="1" applyFill="1" applyAlignment="1">
      <alignment horizontal="center" wrapText="1"/>
    </xf>
    <xf numFmtId="0" fontId="13" fillId="0" borderId="0" xfId="0" applyFont="1" applyFill="1" applyBorder="1"/>
    <xf numFmtId="0" fontId="50" fillId="0" borderId="0" xfId="0" applyFont="1" applyFill="1" applyAlignment="1">
      <alignment wrapText="1"/>
    </xf>
    <xf numFmtId="0" fontId="29" fillId="0" borderId="0" xfId="0" applyFont="1" applyAlignment="1">
      <alignment horizontal="center"/>
    </xf>
    <xf numFmtId="0" fontId="0" fillId="0" borderId="0" xfId="0" applyBorder="1" applyAlignment="1">
      <alignment wrapText="1"/>
    </xf>
    <xf numFmtId="0" fontId="28" fillId="0" borderId="0" xfId="0" applyFont="1" applyFill="1"/>
    <xf numFmtId="4" fontId="14" fillId="0" borderId="0" xfId="12" applyNumberFormat="1" applyFont="1" applyFill="1" applyBorder="1" applyAlignment="1" applyProtection="1">
      <alignment horizontal="center" vertical="center"/>
    </xf>
    <xf numFmtId="4" fontId="13" fillId="0" borderId="0" xfId="0" applyNumberFormat="1" applyFont="1" applyFill="1" applyBorder="1" applyAlignment="1">
      <alignment horizontal="center"/>
    </xf>
    <xf numFmtId="0" fontId="13" fillId="4" borderId="0" xfId="0" applyFont="1" applyFill="1" applyBorder="1"/>
    <xf numFmtId="165" fontId="13" fillId="8" borderId="0" xfId="0" applyNumberFormat="1" applyFont="1" applyFill="1" applyBorder="1" applyAlignment="1">
      <alignment horizontal="center"/>
    </xf>
    <xf numFmtId="165" fontId="13" fillId="8" borderId="0" xfId="0" applyNumberFormat="1" applyFont="1" applyFill="1" applyBorder="1" applyAlignment="1">
      <alignment horizontal="center" vertical="center"/>
    </xf>
    <xf numFmtId="3" fontId="13" fillId="8" borderId="0" xfId="0" applyNumberFormat="1" applyFont="1" applyFill="1" applyBorder="1" applyAlignment="1">
      <alignment horizontal="center"/>
    </xf>
    <xf numFmtId="3" fontId="13" fillId="3" borderId="0" xfId="77" applyNumberFormat="1" applyFont="1" applyFill="1" applyBorder="1" applyAlignment="1">
      <alignment horizontal="center" vertical="center" wrapText="1"/>
    </xf>
    <xf numFmtId="3" fontId="13" fillId="0" borderId="0" xfId="0" applyNumberFormat="1" applyFont="1" applyFill="1" applyBorder="1" applyAlignment="1">
      <alignment horizontal="center"/>
    </xf>
    <xf numFmtId="4" fontId="13" fillId="8" borderId="0" xfId="77" applyNumberFormat="1" applyFont="1" applyFill="1" applyBorder="1" applyAlignment="1">
      <alignment horizontal="center" wrapText="1"/>
    </xf>
    <xf numFmtId="4" fontId="13" fillId="4" borderId="0" xfId="0" applyNumberFormat="1" applyFont="1" applyFill="1" applyBorder="1"/>
    <xf numFmtId="0" fontId="13" fillId="4" borderId="0" xfId="0" applyFont="1" applyFill="1" applyBorder="1" applyAlignment="1">
      <alignment horizontal="center"/>
    </xf>
    <xf numFmtId="0" fontId="13" fillId="8" borderId="0" xfId="0" applyFont="1" applyFill="1" applyBorder="1" applyAlignment="1">
      <alignment horizontal="center"/>
    </xf>
    <xf numFmtId="1" fontId="13" fillId="0" borderId="0" xfId="0" applyNumberFormat="1" applyFont="1" applyBorder="1" applyAlignment="1">
      <alignment horizontal="center" wrapText="1"/>
    </xf>
    <xf numFmtId="1" fontId="13" fillId="3" borderId="0" xfId="0" applyNumberFormat="1" applyFont="1" applyFill="1" applyBorder="1" applyAlignment="1">
      <alignment horizontal="center"/>
    </xf>
    <xf numFmtId="0" fontId="13" fillId="3" borderId="0" xfId="0" applyFont="1" applyFill="1" applyBorder="1" applyAlignment="1">
      <alignment horizontal="center"/>
    </xf>
    <xf numFmtId="1" fontId="13" fillId="0" borderId="0" xfId="0" applyNumberFormat="1" applyFont="1" applyFill="1" applyBorder="1" applyAlignment="1">
      <alignment horizontal="center" wrapText="1"/>
    </xf>
    <xf numFmtId="1" fontId="13" fillId="8" borderId="0" xfId="0" applyNumberFormat="1" applyFont="1" applyFill="1" applyBorder="1" applyAlignment="1">
      <alignment horizontal="center" wrapText="1"/>
    </xf>
    <xf numFmtId="1" fontId="0" fillId="0" borderId="0" xfId="0" applyNumberFormat="1"/>
    <xf numFmtId="0" fontId="5" fillId="0" borderId="0" xfId="0" applyFont="1" applyBorder="1" applyAlignment="1">
      <alignment horizontal="center"/>
    </xf>
    <xf numFmtId="0" fontId="42" fillId="8" borderId="0" xfId="0" applyFont="1" applyFill="1" applyBorder="1" applyAlignment="1">
      <alignment horizontal="center"/>
    </xf>
    <xf numFmtId="0" fontId="42" fillId="0" borderId="0" xfId="0" applyFont="1" applyFill="1" applyBorder="1" applyAlignment="1">
      <alignment horizontal="center"/>
    </xf>
    <xf numFmtId="0" fontId="3" fillId="3" borderId="0" xfId="0" applyFont="1" applyFill="1" applyAlignment="1">
      <alignment horizontal="center" vertical="top"/>
    </xf>
    <xf numFmtId="0" fontId="3" fillId="3" borderId="0" xfId="0" applyFont="1" applyFill="1" applyAlignment="1">
      <alignment horizontal="center" vertical="top"/>
    </xf>
    <xf numFmtId="3" fontId="19" fillId="0" borderId="0" xfId="0" applyNumberFormat="1" applyFont="1" applyBorder="1" applyAlignment="1"/>
    <xf numFmtId="4" fontId="13" fillId="4" borderId="0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0" fontId="44" fillId="0" borderId="0" xfId="0" applyFont="1" applyFill="1"/>
    <xf numFmtId="165" fontId="13" fillId="4" borderId="0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 vertical="top"/>
    </xf>
    <xf numFmtId="1" fontId="13" fillId="0" borderId="0" xfId="0" applyNumberFormat="1" applyFont="1" applyFill="1" applyBorder="1" applyAlignment="1">
      <alignment horizontal="center"/>
    </xf>
    <xf numFmtId="1" fontId="13" fillId="4" borderId="0" xfId="0" applyNumberFormat="1" applyFont="1" applyFill="1" applyBorder="1" applyAlignment="1">
      <alignment horizontal="center"/>
    </xf>
    <xf numFmtId="4" fontId="7" fillId="0" borderId="0" xfId="0" applyNumberFormat="1" applyFont="1" applyBorder="1" applyAlignment="1">
      <alignment horizontal="center"/>
    </xf>
    <xf numFmtId="4" fontId="13" fillId="0" borderId="0" xfId="0" applyNumberFormat="1" applyFont="1" applyFill="1" applyBorder="1" applyAlignment="1">
      <alignment horizontal="center" wrapText="1"/>
    </xf>
    <xf numFmtId="4" fontId="7" fillId="0" borderId="0" xfId="0" applyNumberFormat="1" applyFont="1" applyFill="1" applyBorder="1" applyAlignment="1">
      <alignment horizontal="center"/>
    </xf>
    <xf numFmtId="165" fontId="13" fillId="0" borderId="0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4" fontId="13" fillId="0" borderId="0" xfId="11" applyNumberFormat="1" applyFont="1" applyFill="1" applyBorder="1" applyAlignment="1" applyProtection="1">
      <alignment horizontal="center" vertical="center"/>
    </xf>
    <xf numFmtId="4" fontId="14" fillId="0" borderId="0" xfId="95" applyNumberFormat="1" applyFont="1" applyFill="1" applyBorder="1" applyAlignment="1" applyProtection="1">
      <alignment horizontal="center" vertical="center"/>
    </xf>
    <xf numFmtId="0" fontId="41" fillId="0" borderId="0" xfId="0" applyFont="1" applyFill="1"/>
    <xf numFmtId="0" fontId="0" fillId="0" borderId="0" xfId="0" applyFont="1"/>
    <xf numFmtId="4" fontId="51" fillId="8" borderId="1" xfId="0" applyNumberFormat="1" applyFont="1" applyFill="1" applyBorder="1" applyAlignment="1">
      <alignment horizontal="center"/>
    </xf>
    <xf numFmtId="0" fontId="53" fillId="0" borderId="0" xfId="0" applyFont="1"/>
    <xf numFmtId="4" fontId="51" fillId="8" borderId="0" xfId="0" applyNumberFormat="1" applyFont="1" applyFill="1" applyAlignment="1">
      <alignment horizontal="center"/>
    </xf>
    <xf numFmtId="4" fontId="51" fillId="0" borderId="1" xfId="12" applyNumberFormat="1" applyFont="1" applyFill="1" applyBorder="1" applyAlignment="1" applyProtection="1">
      <alignment horizontal="center" vertical="center"/>
    </xf>
    <xf numFmtId="4" fontId="54" fillId="0" borderId="0" xfId="11" applyNumberFormat="1" applyFont="1" applyFill="1" applyBorder="1" applyAlignment="1" applyProtection="1">
      <alignment horizontal="center" vertical="center"/>
    </xf>
    <xf numFmtId="4" fontId="51" fillId="0" borderId="0" xfId="12" applyNumberFormat="1" applyFont="1" applyFill="1" applyBorder="1" applyAlignment="1" applyProtection="1">
      <alignment horizontal="center" vertical="center"/>
    </xf>
    <xf numFmtId="4" fontId="51" fillId="0" borderId="0" xfId="100" applyNumberFormat="1" applyFont="1" applyFill="1" applyBorder="1" applyAlignment="1" applyProtection="1">
      <alignment horizontal="center" vertical="center"/>
    </xf>
    <xf numFmtId="0" fontId="0" fillId="0" borderId="0" xfId="0" applyFont="1" applyFill="1"/>
    <xf numFmtId="4" fontId="51" fillId="4" borderId="5" xfId="0" applyNumberFormat="1" applyFont="1" applyFill="1" applyBorder="1" applyAlignment="1">
      <alignment horizontal="center"/>
    </xf>
    <xf numFmtId="0" fontId="4" fillId="11" borderId="0" xfId="0" applyFont="1" applyFill="1"/>
    <xf numFmtId="0" fontId="56" fillId="2" borderId="0" xfId="0" applyFont="1" applyFill="1" applyBorder="1"/>
    <xf numFmtId="0" fontId="12" fillId="0" borderId="0" xfId="0" applyFont="1"/>
    <xf numFmtId="0" fontId="12" fillId="0" borderId="0" xfId="0" applyFont="1" applyFill="1" applyBorder="1"/>
    <xf numFmtId="0" fontId="12" fillId="0" borderId="0" xfId="0" applyFont="1" applyFill="1"/>
    <xf numFmtId="0" fontId="12" fillId="0" borderId="0" xfId="0" applyFont="1" applyFill="1" applyBorder="1" applyAlignment="1">
      <alignment horizontal="center"/>
    </xf>
    <xf numFmtId="0" fontId="34" fillId="0" borderId="0" xfId="0" applyFont="1" applyFill="1" applyBorder="1" applyAlignment="1">
      <alignment horizontal="center" vertical="top" wrapText="1"/>
    </xf>
    <xf numFmtId="0" fontId="34" fillId="0" borderId="0" xfId="0" applyFont="1" applyFill="1" applyBorder="1" applyAlignment="1">
      <alignment horizontal="center" vertical="top"/>
    </xf>
    <xf numFmtId="0" fontId="4" fillId="11" borderId="0" xfId="0" applyFont="1" applyFill="1" applyBorder="1" applyAlignment="1">
      <alignment horizontal="center"/>
    </xf>
    <xf numFmtId="4" fontId="51" fillId="8" borderId="0" xfId="0" applyNumberFormat="1" applyFont="1" applyFill="1" applyBorder="1" applyAlignment="1">
      <alignment horizontal="center"/>
    </xf>
    <xf numFmtId="4" fontId="51" fillId="0" borderId="0" xfId="11" applyNumberFormat="1" applyFont="1" applyFill="1" applyBorder="1" applyAlignment="1" applyProtection="1">
      <alignment horizontal="center" vertical="center"/>
    </xf>
    <xf numFmtId="4" fontId="51" fillId="0" borderId="0" xfId="135" applyFont="1" applyFill="1" applyBorder="1" applyAlignment="1">
      <alignment horizontal="center" vertical="center"/>
    </xf>
    <xf numFmtId="4" fontId="51" fillId="0" borderId="1" xfId="12" applyNumberFormat="1" applyFont="1" applyFill="1" applyBorder="1" applyAlignment="1" applyProtection="1">
      <alignment horizontal="center" vertical="center" wrapText="1"/>
    </xf>
    <xf numFmtId="4" fontId="51" fillId="9" borderId="1" xfId="11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4" fontId="51" fillId="8" borderId="1" xfId="11" applyNumberFormat="1" applyFont="1" applyFill="1" applyBorder="1" applyAlignment="1" applyProtection="1">
      <alignment horizontal="center" vertical="center"/>
    </xf>
    <xf numFmtId="4" fontId="51" fillId="9" borderId="1" xfId="12" applyNumberFormat="1" applyFont="1" applyFill="1" applyBorder="1" applyAlignment="1" applyProtection="1">
      <alignment horizontal="center" vertical="center" wrapText="1"/>
    </xf>
    <xf numFmtId="4" fontId="51" fillId="8" borderId="1" xfId="12" applyNumberFormat="1" applyFont="1" applyFill="1" applyBorder="1" applyAlignment="1" applyProtection="1">
      <alignment horizontal="center" vertical="center" wrapText="1"/>
    </xf>
    <xf numFmtId="4" fontId="51" fillId="8" borderId="1" xfId="12" applyNumberFormat="1" applyFont="1" applyFill="1" applyBorder="1" applyAlignment="1" applyProtection="1">
      <alignment horizontal="center" vertical="center"/>
    </xf>
    <xf numFmtId="0" fontId="4" fillId="2" borderId="0" xfId="0" applyFont="1" applyFill="1"/>
    <xf numFmtId="4" fontId="51" fillId="8" borderId="1" xfId="0" applyNumberFormat="1" applyFont="1" applyFill="1" applyBorder="1" applyAlignment="1">
      <alignment horizontal="center" vertical="center"/>
    </xf>
    <xf numFmtId="0" fontId="57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12" fillId="0" borderId="0" xfId="0" applyFont="1" applyFill="1" applyBorder="1" applyAlignment="1">
      <alignment horizontal="center" wrapText="1"/>
    </xf>
    <xf numFmtId="4" fontId="51" fillId="0" borderId="0" xfId="0" applyNumberFormat="1" applyFont="1" applyFill="1" applyBorder="1" applyAlignment="1">
      <alignment horizontal="center"/>
    </xf>
    <xf numFmtId="4" fontId="51" fillId="4" borderId="23" xfId="94" applyNumberFormat="1" applyFont="1" applyFill="1" applyBorder="1" applyAlignment="1" applyProtection="1">
      <alignment horizontal="center" vertical="center"/>
    </xf>
    <xf numFmtId="4" fontId="51" fillId="4" borderId="14" xfId="95" applyNumberFormat="1" applyFont="1" applyFill="1" applyBorder="1" applyAlignment="1" applyProtection="1">
      <alignment horizontal="center" vertical="center"/>
    </xf>
    <xf numFmtId="4" fontId="51" fillId="4" borderId="24" xfId="0" applyNumberFormat="1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 vertical="top" wrapText="1"/>
    </xf>
    <xf numFmtId="0" fontId="53" fillId="0" borderId="0" xfId="0" applyFont="1" applyFill="1" applyBorder="1" applyAlignment="1">
      <alignment horizontal="center"/>
    </xf>
    <xf numFmtId="0" fontId="53" fillId="0" borderId="0" xfId="0" applyFont="1" applyFill="1" applyBorder="1"/>
    <xf numFmtId="0" fontId="25" fillId="0" borderId="0" xfId="0" applyFont="1" applyFill="1" applyBorder="1" applyAlignment="1">
      <alignment horizontal="center"/>
    </xf>
    <xf numFmtId="4" fontId="51" fillId="0" borderId="0" xfId="95" applyNumberFormat="1" applyFont="1" applyFill="1" applyBorder="1" applyAlignment="1" applyProtection="1">
      <alignment horizontal="center" vertical="center"/>
    </xf>
    <xf numFmtId="0" fontId="44" fillId="0" borderId="0" xfId="0" applyFont="1" applyBorder="1" applyAlignment="1">
      <alignment wrapText="1"/>
    </xf>
    <xf numFmtId="0" fontId="56" fillId="0" borderId="12" xfId="0" applyFont="1" applyBorder="1"/>
    <xf numFmtId="0" fontId="44" fillId="0" borderId="0" xfId="0" applyFont="1" applyFill="1" applyBorder="1"/>
    <xf numFmtId="4" fontId="51" fillId="0" borderId="0" xfId="0" applyNumberFormat="1" applyFont="1" applyFill="1" applyBorder="1" applyAlignment="1">
      <alignment horizontal="center" vertical="top"/>
    </xf>
    <xf numFmtId="0" fontId="55" fillId="0" borderId="0" xfId="0" applyFont="1" applyFill="1" applyBorder="1" applyAlignment="1">
      <alignment horizontal="center"/>
    </xf>
    <xf numFmtId="4" fontId="51" fillId="0" borderId="0" xfId="113" applyNumberFormat="1" applyFont="1" applyFill="1" applyBorder="1" applyAlignment="1" applyProtection="1">
      <alignment horizontal="center" vertical="center"/>
    </xf>
    <xf numFmtId="4" fontId="51" fillId="0" borderId="0" xfId="97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>
      <alignment horizontal="center" vertical="top" wrapText="1"/>
    </xf>
    <xf numFmtId="0" fontId="25" fillId="0" borderId="0" xfId="0" applyFont="1" applyFill="1" applyBorder="1" applyAlignment="1">
      <alignment horizontal="center" wrapText="1"/>
    </xf>
    <xf numFmtId="0" fontId="53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wrapText="1"/>
    </xf>
    <xf numFmtId="0" fontId="56" fillId="0" borderId="16" xfId="0" applyFont="1" applyBorder="1"/>
    <xf numFmtId="4" fontId="51" fillId="0" borderId="16" xfId="0" applyNumberFormat="1" applyFont="1" applyFill="1" applyBorder="1" applyAlignment="1">
      <alignment horizontal="center"/>
    </xf>
    <xf numFmtId="4" fontId="51" fillId="0" borderId="0" xfId="108" applyNumberFormat="1" applyFont="1" applyFill="1" applyBorder="1" applyAlignment="1" applyProtection="1">
      <alignment horizontal="center" vertical="center"/>
    </xf>
    <xf numFmtId="4" fontId="51" fillId="0" borderId="0" xfId="109" applyNumberFormat="1" applyFont="1" applyFill="1" applyBorder="1" applyAlignment="1" applyProtection="1">
      <alignment horizontal="center" vertical="center"/>
    </xf>
    <xf numFmtId="4" fontId="51" fillId="0" borderId="0" xfId="102" applyNumberFormat="1" applyFont="1" applyFill="1" applyBorder="1" applyAlignment="1" applyProtection="1">
      <alignment horizontal="center" vertical="center"/>
    </xf>
    <xf numFmtId="4" fontId="51" fillId="0" borderId="0" xfId="111" applyNumberFormat="1" applyFont="1" applyFill="1" applyBorder="1" applyAlignment="1" applyProtection="1">
      <alignment horizontal="center" vertical="center"/>
    </xf>
    <xf numFmtId="4" fontId="51" fillId="0" borderId="0" xfId="120" applyNumberFormat="1" applyFont="1" applyFill="1" applyBorder="1" applyAlignment="1" applyProtection="1">
      <alignment horizontal="center" vertical="center"/>
    </xf>
    <xf numFmtId="4" fontId="51" fillId="0" borderId="0" xfId="115" applyNumberFormat="1" applyFont="1" applyFill="1" applyBorder="1" applyAlignment="1" applyProtection="1">
      <alignment horizontal="center" vertical="center"/>
    </xf>
    <xf numFmtId="4" fontId="51" fillId="0" borderId="0" xfId="131" applyNumberFormat="1" applyFont="1" applyFill="1" applyBorder="1" applyAlignment="1" applyProtection="1">
      <alignment horizontal="center" vertical="center"/>
    </xf>
    <xf numFmtId="4" fontId="51" fillId="0" borderId="0" xfId="126" applyNumberFormat="1" applyFont="1" applyFill="1" applyBorder="1" applyAlignment="1" applyProtection="1">
      <alignment horizontal="center" vertical="center"/>
    </xf>
    <xf numFmtId="0" fontId="0" fillId="0" borderId="0" xfId="0" applyFont="1" applyAlignment="1"/>
    <xf numFmtId="4" fontId="51" fillId="0" borderId="0" xfId="124" applyNumberFormat="1" applyFont="1" applyFill="1" applyBorder="1" applyAlignment="1" applyProtection="1">
      <alignment horizontal="center" vertical="center"/>
    </xf>
    <xf numFmtId="4" fontId="51" fillId="0" borderId="0" xfId="118" applyNumberFormat="1" applyFont="1" applyFill="1" applyBorder="1" applyAlignment="1" applyProtection="1">
      <alignment horizontal="center" vertical="center"/>
    </xf>
    <xf numFmtId="4" fontId="51" fillId="0" borderId="0" xfId="128" applyNumberFormat="1" applyFont="1" applyFill="1" applyBorder="1" applyAlignment="1" applyProtection="1">
      <alignment horizontal="center" vertical="center"/>
    </xf>
    <xf numFmtId="4" fontId="51" fillId="0" borderId="0" xfId="122" applyNumberFormat="1" applyFont="1" applyFill="1" applyBorder="1" applyAlignment="1" applyProtection="1">
      <alignment horizontal="center" vertical="center"/>
    </xf>
    <xf numFmtId="0" fontId="56" fillId="0" borderId="1" xfId="0" applyFont="1" applyFill="1" applyBorder="1" applyAlignment="1">
      <alignment horizontal="center" wrapText="1"/>
    </xf>
    <xf numFmtId="0" fontId="56" fillId="0" borderId="1" xfId="0" applyFont="1" applyFill="1" applyBorder="1" applyAlignment="1">
      <alignment horizontal="center" vertical="top" wrapText="1"/>
    </xf>
    <xf numFmtId="4" fontId="51" fillId="9" borderId="0" xfId="0" applyNumberFormat="1" applyFont="1" applyFill="1" applyAlignment="1">
      <alignment horizontal="center"/>
    </xf>
    <xf numFmtId="4" fontId="51" fillId="9" borderId="1" xfId="11" applyNumberFormat="1" applyFont="1" applyFill="1" applyBorder="1" applyAlignment="1" applyProtection="1">
      <alignment horizontal="center" vertical="center"/>
    </xf>
    <xf numFmtId="4" fontId="51" fillId="9" borderId="1" xfId="0" applyNumberFormat="1" applyFont="1" applyFill="1" applyBorder="1" applyAlignment="1">
      <alignment horizontal="center"/>
    </xf>
    <xf numFmtId="0" fontId="56" fillId="0" borderId="1" xfId="0" applyFont="1" applyFill="1" applyBorder="1" applyAlignment="1">
      <alignment horizontal="center"/>
    </xf>
    <xf numFmtId="0" fontId="12" fillId="0" borderId="0" xfId="0" applyFont="1" applyBorder="1"/>
    <xf numFmtId="0" fontId="4" fillId="0" borderId="0" xfId="0" applyFont="1" applyBorder="1" applyAlignment="1">
      <alignment horizontal="center" vertical="top"/>
    </xf>
    <xf numFmtId="4" fontId="51" fillId="8" borderId="3" xfId="0" applyNumberFormat="1" applyFont="1" applyFill="1" applyBorder="1" applyAlignment="1">
      <alignment horizontal="center"/>
    </xf>
    <xf numFmtId="4" fontId="51" fillId="8" borderId="3" xfId="11" applyNumberFormat="1" applyFont="1" applyFill="1" applyBorder="1" applyAlignment="1" applyProtection="1">
      <alignment horizontal="center" vertical="center"/>
    </xf>
    <xf numFmtId="4" fontId="51" fillId="8" borderId="3" xfId="12" applyNumberFormat="1" applyFont="1" applyFill="1" applyBorder="1" applyAlignment="1" applyProtection="1">
      <alignment horizontal="center" vertical="center"/>
    </xf>
    <xf numFmtId="0" fontId="0" fillId="0" borderId="0" xfId="0" applyAlignment="1">
      <alignment wrapText="1"/>
    </xf>
    <xf numFmtId="4" fontId="51" fillId="9" borderId="6" xfId="134" applyNumberFormat="1" applyFont="1" applyFill="1" applyBorder="1" applyAlignment="1" applyProtection="1">
      <alignment horizontal="center" vertical="center"/>
    </xf>
    <xf numFmtId="4" fontId="51" fillId="9" borderId="1" xfId="135" applyFont="1" applyFill="1" applyBorder="1" applyAlignment="1">
      <alignment horizontal="center" vertical="center"/>
    </xf>
    <xf numFmtId="4" fontId="51" fillId="9" borderId="1" xfId="12" applyNumberFormat="1" applyFont="1" applyFill="1" applyBorder="1" applyAlignment="1" applyProtection="1">
      <alignment horizontal="center" vertical="center"/>
    </xf>
    <xf numFmtId="4" fontId="51" fillId="0" borderId="1" xfId="11" applyNumberFormat="1" applyFont="1" applyFill="1" applyBorder="1" applyAlignment="1" applyProtection="1">
      <alignment horizontal="center" vertical="center"/>
    </xf>
    <xf numFmtId="0" fontId="41" fillId="0" borderId="0" xfId="0" applyFont="1" applyFill="1" applyBorder="1" applyAlignment="1">
      <alignment horizontal="center"/>
    </xf>
    <xf numFmtId="0" fontId="44" fillId="0" borderId="0" xfId="0" applyFont="1" applyBorder="1"/>
    <xf numFmtId="0" fontId="41" fillId="0" borderId="0" xfId="0" applyFont="1" applyFill="1" applyBorder="1" applyAlignment="1">
      <alignment horizontal="center" vertical="top" wrapText="1"/>
    </xf>
    <xf numFmtId="0" fontId="51" fillId="0" borderId="0" xfId="0" applyFont="1" applyAlignment="1">
      <alignment wrapText="1"/>
    </xf>
    <xf numFmtId="0" fontId="56" fillId="0" borderId="10" xfId="0" applyFont="1" applyFill="1" applyBorder="1" applyAlignment="1">
      <alignment horizontal="center" vertical="top" wrapText="1"/>
    </xf>
    <xf numFmtId="0" fontId="58" fillId="0" borderId="0" xfId="0" applyFont="1" applyFill="1" applyBorder="1" applyAlignment="1">
      <alignment horizontal="center"/>
    </xf>
    <xf numFmtId="0" fontId="56" fillId="0" borderId="1" xfId="0" applyFont="1" applyBorder="1" applyAlignment="1">
      <alignment horizontal="center" vertical="top"/>
    </xf>
    <xf numFmtId="0" fontId="51" fillId="10" borderId="1" xfId="0" applyFont="1" applyFill="1" applyBorder="1" applyAlignment="1">
      <alignment horizontal="center"/>
    </xf>
    <xf numFmtId="0" fontId="51" fillId="0" borderId="10" xfId="0" applyFont="1" applyFill="1" applyBorder="1" applyAlignment="1">
      <alignment horizontal="center"/>
    </xf>
    <xf numFmtId="0" fontId="56" fillId="0" borderId="1" xfId="0" applyFont="1" applyBorder="1" applyAlignment="1">
      <alignment horizontal="center" vertical="top" wrapText="1"/>
    </xf>
    <xf numFmtId="0" fontId="51" fillId="10" borderId="1" xfId="0" applyFont="1" applyFill="1" applyBorder="1" applyAlignment="1">
      <alignment horizontal="center" wrapText="1"/>
    </xf>
    <xf numFmtId="0" fontId="56" fillId="9" borderId="1" xfId="0" applyFont="1" applyFill="1" applyBorder="1" applyAlignment="1">
      <alignment horizontal="center" vertical="top" wrapText="1"/>
    </xf>
    <xf numFmtId="0" fontId="51" fillId="0" borderId="1" xfId="0" applyFont="1" applyBorder="1"/>
    <xf numFmtId="0" fontId="56" fillId="0" borderId="2" xfId="0" applyFont="1" applyBorder="1"/>
    <xf numFmtId="0" fontId="56" fillId="0" borderId="6" xfId="0" applyFont="1" applyBorder="1" applyAlignment="1">
      <alignment horizontal="center" vertical="top" wrapText="1"/>
    </xf>
    <xf numFmtId="0" fontId="56" fillId="0" borderId="2" xfId="0" applyFont="1" applyBorder="1" applyAlignment="1">
      <alignment horizontal="center" vertical="top" wrapText="1"/>
    </xf>
    <xf numFmtId="0" fontId="51" fillId="10" borderId="5" xfId="0" applyFont="1" applyFill="1" applyBorder="1" applyAlignment="1">
      <alignment horizontal="center"/>
    </xf>
    <xf numFmtId="0" fontId="51" fillId="9" borderId="1" xfId="0" applyFont="1" applyFill="1" applyBorder="1" applyAlignment="1">
      <alignment horizontal="center" vertical="center"/>
    </xf>
    <xf numFmtId="0" fontId="51" fillId="0" borderId="0" xfId="0" applyFont="1"/>
    <xf numFmtId="0" fontId="51" fillId="8" borderId="0" xfId="0" applyFont="1" applyFill="1"/>
    <xf numFmtId="0" fontId="56" fillId="0" borderId="0" xfId="0" applyFont="1" applyBorder="1" applyAlignment="1">
      <alignment horizontal="center" vertical="top" wrapText="1"/>
    </xf>
    <xf numFmtId="0" fontId="51" fillId="0" borderId="0" xfId="0" applyFont="1" applyFill="1" applyBorder="1" applyAlignment="1">
      <alignment horizontal="center"/>
    </xf>
    <xf numFmtId="0" fontId="56" fillId="0" borderId="0" xfId="0" applyFont="1" applyFill="1" applyBorder="1"/>
    <xf numFmtId="0" fontId="51" fillId="0" borderId="0" xfId="0" applyFont="1" applyFill="1" applyBorder="1"/>
    <xf numFmtId="0" fontId="51" fillId="0" borderId="0" xfId="0" applyFont="1" applyFill="1" applyBorder="1" applyAlignment="1">
      <alignment horizontal="center" vertical="top"/>
    </xf>
    <xf numFmtId="0" fontId="51" fillId="9" borderId="1" xfId="0" applyFont="1" applyFill="1" applyBorder="1" applyAlignment="1">
      <alignment horizontal="center"/>
    </xf>
    <xf numFmtId="4" fontId="51" fillId="9" borderId="1" xfId="0" applyNumberFormat="1" applyFont="1" applyFill="1" applyBorder="1" applyAlignment="1">
      <alignment horizontal="center" wrapText="1"/>
    </xf>
    <xf numFmtId="4" fontId="51" fillId="9" borderId="0" xfId="0" applyNumberFormat="1" applyFont="1" applyFill="1" applyAlignment="1">
      <alignment horizontal="center" wrapText="1"/>
    </xf>
    <xf numFmtId="0" fontId="51" fillId="9" borderId="5" xfId="0" applyFont="1" applyFill="1" applyBorder="1" applyAlignment="1">
      <alignment horizontal="center" wrapText="1"/>
    </xf>
    <xf numFmtId="0" fontId="56" fillId="4" borderId="25" xfId="0" applyFont="1" applyFill="1" applyBorder="1"/>
    <xf numFmtId="0" fontId="51" fillId="4" borderId="26" xfId="0" applyFont="1" applyFill="1" applyBorder="1" applyAlignment="1">
      <alignment horizontal="center" vertical="top"/>
    </xf>
    <xf numFmtId="4" fontId="51" fillId="0" borderId="1" xfId="137" applyFont="1" applyFill="1" applyBorder="1" applyAlignment="1">
      <alignment horizontal="center" vertical="center"/>
    </xf>
    <xf numFmtId="0" fontId="51" fillId="8" borderId="0" xfId="0" applyFont="1" applyFill="1" applyAlignment="1"/>
    <xf numFmtId="0" fontId="51" fillId="4" borderId="13" xfId="0" applyFont="1" applyFill="1" applyBorder="1"/>
    <xf numFmtId="0" fontId="51" fillId="4" borderId="14" xfId="0" applyFont="1" applyFill="1" applyBorder="1"/>
    <xf numFmtId="4" fontId="51" fillId="4" borderId="12" xfId="11" applyNumberFormat="1" applyFont="1" applyFill="1" applyBorder="1" applyAlignment="1" applyProtection="1">
      <alignment horizontal="center" vertical="center"/>
    </xf>
    <xf numFmtId="4" fontId="51" fillId="4" borderId="22" xfId="11" applyNumberFormat="1" applyFont="1" applyFill="1" applyBorder="1" applyAlignment="1" applyProtection="1">
      <alignment horizontal="center" vertical="center"/>
    </xf>
    <xf numFmtId="0" fontId="44" fillId="0" borderId="0" xfId="0" applyFont="1" applyAlignment="1">
      <alignment wrapText="1"/>
    </xf>
    <xf numFmtId="0" fontId="51" fillId="0" borderId="0" xfId="0" applyFont="1" applyFill="1" applyAlignment="1">
      <alignment wrapText="1"/>
    </xf>
    <xf numFmtId="0" fontId="44" fillId="0" borderId="1" xfId="0" applyFont="1" applyFill="1" applyBorder="1" applyAlignment="1">
      <alignment horizontal="center"/>
    </xf>
    <xf numFmtId="0" fontId="43" fillId="0" borderId="0" xfId="0" applyFont="1" applyFill="1" applyBorder="1" applyAlignment="1">
      <alignment horizontal="center" vertical="top" wrapText="1"/>
    </xf>
    <xf numFmtId="0" fontId="54" fillId="0" borderId="0" xfId="0" applyFont="1" applyFill="1" applyBorder="1" applyAlignment="1">
      <alignment horizontal="center"/>
    </xf>
    <xf numFmtId="0" fontId="58" fillId="0" borderId="0" xfId="0" applyFont="1" applyBorder="1" applyAlignment="1">
      <alignment horizontal="center"/>
    </xf>
    <xf numFmtId="0" fontId="54" fillId="0" borderId="0" xfId="0" applyFont="1" applyFill="1" applyBorder="1"/>
    <xf numFmtId="0" fontId="43" fillId="0" borderId="0" xfId="0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/>
    </xf>
    <xf numFmtId="0" fontId="51" fillId="0" borderId="0" xfId="0" applyFont="1" applyFill="1"/>
    <xf numFmtId="0" fontId="51" fillId="0" borderId="0" xfId="0" applyFont="1" applyFill="1" applyBorder="1" applyAlignment="1">
      <alignment horizontal="center" wrapText="1"/>
    </xf>
    <xf numFmtId="0" fontId="51" fillId="0" borderId="0" xfId="0" applyFont="1" applyFill="1" applyBorder="1" applyAlignment="1">
      <alignment wrapText="1"/>
    </xf>
    <xf numFmtId="0" fontId="51" fillId="0" borderId="16" xfId="0" applyFont="1" applyFill="1" applyBorder="1"/>
    <xf numFmtId="4" fontId="51" fillId="0" borderId="16" xfId="11" applyNumberFormat="1" applyFont="1" applyFill="1" applyBorder="1" applyAlignment="1" applyProtection="1">
      <alignment horizontal="center" vertical="center"/>
    </xf>
    <xf numFmtId="0" fontId="51" fillId="0" borderId="0" xfId="0" applyFont="1" applyBorder="1"/>
    <xf numFmtId="0" fontId="56" fillId="0" borderId="0" xfId="0" applyFont="1" applyFill="1" applyBorder="1" applyAlignment="1">
      <alignment horizontal="center"/>
    </xf>
    <xf numFmtId="0" fontId="56" fillId="0" borderId="0" xfId="0" applyFont="1" applyFill="1" applyBorder="1" applyAlignment="1">
      <alignment horizontal="center" vertical="top" wrapText="1"/>
    </xf>
    <xf numFmtId="0" fontId="56" fillId="0" borderId="0" xfId="0" applyFont="1" applyBorder="1"/>
    <xf numFmtId="0" fontId="44" fillId="10" borderId="1" xfId="0" applyFont="1" applyFill="1" applyBorder="1"/>
    <xf numFmtId="0" fontId="44" fillId="9" borderId="1" xfId="0" applyFont="1" applyFill="1" applyBorder="1"/>
    <xf numFmtId="0" fontId="31" fillId="0" borderId="0" xfId="0" applyFont="1"/>
    <xf numFmtId="0" fontId="43" fillId="0" borderId="0" xfId="0" applyFont="1" applyBorder="1" applyAlignment="1">
      <alignment horizontal="center" vertical="top"/>
    </xf>
    <xf numFmtId="4" fontId="54" fillId="0" borderId="0" xfId="0" applyNumberFormat="1" applyFont="1" applyFill="1" applyBorder="1" applyAlignment="1">
      <alignment horizontal="center"/>
    </xf>
    <xf numFmtId="0" fontId="54" fillId="0" borderId="0" xfId="0" applyFont="1" applyBorder="1" applyAlignment="1">
      <alignment horizontal="center"/>
    </xf>
    <xf numFmtId="0" fontId="56" fillId="0" borderId="0" xfId="0" applyFont="1" applyFill="1" applyBorder="1" applyAlignment="1">
      <alignment horizontal="center" vertical="top"/>
    </xf>
    <xf numFmtId="0" fontId="56" fillId="0" borderId="3" xfId="0" applyFont="1" applyBorder="1" applyAlignment="1">
      <alignment horizontal="center" vertical="top" wrapText="1"/>
    </xf>
    <xf numFmtId="0" fontId="51" fillId="10" borderId="3" xfId="0" applyFont="1" applyFill="1" applyBorder="1" applyAlignment="1">
      <alignment horizontal="center" wrapText="1"/>
    </xf>
    <xf numFmtId="0" fontId="51" fillId="9" borderId="3" xfId="0" applyFont="1" applyFill="1" applyBorder="1" applyAlignment="1">
      <alignment horizontal="center"/>
    </xf>
    <xf numFmtId="0" fontId="51" fillId="0" borderId="3" xfId="0" applyFont="1" applyBorder="1"/>
    <xf numFmtId="0" fontId="54" fillId="0" borderId="0" xfId="0" applyFont="1"/>
    <xf numFmtId="4" fontId="13" fillId="0" borderId="0" xfId="77" applyNumberFormat="1" applyFont="1" applyFill="1" applyBorder="1" applyAlignment="1">
      <alignment horizontal="center" wrapText="1"/>
    </xf>
    <xf numFmtId="4" fontId="51" fillId="0" borderId="22" xfId="11" applyNumberFormat="1" applyFont="1" applyFill="1" applyBorder="1" applyAlignment="1" applyProtection="1">
      <alignment horizontal="center" vertical="center"/>
    </xf>
    <xf numFmtId="4" fontId="51" fillId="0" borderId="6" xfId="131" applyNumberFormat="1" applyFont="1" applyFill="1" applyBorder="1" applyAlignment="1" applyProtection="1">
      <alignment horizontal="center" vertical="center"/>
    </xf>
    <xf numFmtId="2" fontId="14" fillId="0" borderId="1" xfId="0" applyNumberFormat="1" applyFont="1" applyFill="1" applyBorder="1" applyAlignment="1">
      <alignment horizontal="right"/>
    </xf>
    <xf numFmtId="4" fontId="51" fillId="8" borderId="1" xfId="11" applyNumberFormat="1" applyFont="1" applyFill="1" applyBorder="1" applyAlignment="1" applyProtection="1">
      <alignment horizontal="center" vertical="center" wrapText="1"/>
    </xf>
    <xf numFmtId="2" fontId="14" fillId="0" borderId="1" xfId="0" applyNumberFormat="1" applyFont="1" applyFill="1" applyBorder="1" applyAlignment="1">
      <alignment horizontal="center"/>
    </xf>
    <xf numFmtId="0" fontId="103" fillId="0" borderId="0" xfId="0" applyFont="1"/>
    <xf numFmtId="2" fontId="14" fillId="9" borderId="1" xfId="0" applyNumberFormat="1" applyFont="1" applyFill="1" applyBorder="1" applyAlignment="1">
      <alignment horizontal="right"/>
    </xf>
    <xf numFmtId="4" fontId="51" fillId="9" borderId="6" xfId="131" applyNumberFormat="1" applyFont="1" applyFill="1" applyBorder="1" applyAlignment="1" applyProtection="1">
      <alignment horizontal="center" vertical="center"/>
    </xf>
    <xf numFmtId="4" fontId="51" fillId="0" borderId="6" xfId="102" applyNumberFormat="1" applyFont="1" applyFill="1" applyBorder="1" applyAlignment="1" applyProtection="1">
      <alignment horizontal="center" vertical="center"/>
    </xf>
    <xf numFmtId="4" fontId="51" fillId="0" borderId="1" xfId="111" applyNumberFormat="1" applyFont="1" applyFill="1" applyBorder="1" applyAlignment="1" applyProtection="1">
      <alignment horizontal="center" vertical="center"/>
    </xf>
    <xf numFmtId="4" fontId="51" fillId="0" borderId="12" xfId="0" applyNumberFormat="1" applyFont="1" applyFill="1" applyBorder="1" applyAlignment="1">
      <alignment horizontal="center" vertical="center"/>
    </xf>
    <xf numFmtId="2" fontId="51" fillId="0" borderId="1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Alignment="1">
      <alignment horizontal="center" wrapText="1"/>
    </xf>
    <xf numFmtId="0" fontId="59" fillId="4" borderId="0" xfId="0" applyFont="1" applyFill="1"/>
    <xf numFmtId="4" fontId="0" fillId="0" borderId="47" xfId="0" applyNumberFormat="1" applyFill="1" applyBorder="1" applyAlignment="1">
      <alignment horizontal="right" vertical="center" indent="1"/>
    </xf>
    <xf numFmtId="4" fontId="0" fillId="0" borderId="0" xfId="0" applyNumberFormat="1" applyFill="1"/>
    <xf numFmtId="4" fontId="0" fillId="0" borderId="47" xfId="0" applyNumberFormat="1" applyFill="1" applyBorder="1" applyAlignment="1">
      <alignment horizontal="center" vertical="center"/>
    </xf>
    <xf numFmtId="4" fontId="0" fillId="0" borderId="0" xfId="0" applyNumberFormat="1" applyAlignment="1">
      <alignment horizontal="center"/>
    </xf>
    <xf numFmtId="4" fontId="19" fillId="0" borderId="0" xfId="0" applyNumberFormat="1" applyFont="1" applyBorder="1" applyAlignment="1"/>
    <xf numFmtId="3" fontId="11" fillId="0" borderId="0" xfId="0" applyNumberFormat="1" applyFont="1" applyFill="1" applyBorder="1" applyAlignment="1">
      <alignment horizontal="center" wrapText="1"/>
    </xf>
    <xf numFmtId="3" fontId="0" fillId="0" borderId="0" xfId="0" applyNumberFormat="1" applyFill="1"/>
    <xf numFmtId="3" fontId="44" fillId="0" borderId="0" xfId="0" applyNumberFormat="1" applyFont="1" applyFill="1"/>
    <xf numFmtId="3" fontId="5" fillId="0" borderId="0" xfId="0" applyNumberFormat="1" applyFont="1" applyFill="1" applyBorder="1" applyAlignment="1">
      <alignment horizontal="center" wrapText="1"/>
    </xf>
    <xf numFmtId="3" fontId="5" fillId="0" borderId="0" xfId="0" applyNumberFormat="1" applyFont="1" applyFill="1" applyBorder="1" applyAlignment="1">
      <alignment horizontal="right" indent="1"/>
    </xf>
    <xf numFmtId="0" fontId="42" fillId="4" borderId="0" xfId="0" applyFont="1" applyFill="1" applyBorder="1" applyAlignment="1">
      <alignment horizontal="center"/>
    </xf>
    <xf numFmtId="4" fontId="51" fillId="0" borderId="1" xfId="0" applyNumberFormat="1" applyFont="1" applyFill="1" applyBorder="1" applyAlignment="1">
      <alignment horizontal="center"/>
    </xf>
    <xf numFmtId="4" fontId="51" fillId="0" borderId="12" xfId="0" applyNumberFormat="1" applyFont="1" applyFill="1" applyBorder="1" applyAlignment="1">
      <alignment horizontal="center"/>
    </xf>
    <xf numFmtId="4" fontId="51" fillId="0" borderId="14" xfId="0" applyNumberFormat="1" applyFont="1" applyFill="1" applyBorder="1" applyAlignment="1">
      <alignment horizontal="center"/>
    </xf>
    <xf numFmtId="2" fontId="104" fillId="0" borderId="43" xfId="0" applyNumberFormat="1" applyFont="1" applyFill="1" applyBorder="1" applyAlignment="1">
      <alignment horizontal="center"/>
    </xf>
    <xf numFmtId="4" fontId="51" fillId="0" borderId="1" xfId="126" applyNumberFormat="1" applyFont="1" applyFill="1" applyBorder="1" applyAlignment="1" applyProtection="1">
      <alignment horizontal="center" vertical="center"/>
    </xf>
    <xf numFmtId="165" fontId="106" fillId="0" borderId="0" xfId="0" applyNumberFormat="1" applyFont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4" fontId="105" fillId="0" borderId="0" xfId="10" applyNumberFormat="1" applyFont="1" applyFill="1" applyBorder="1" applyAlignment="1">
      <alignment horizontal="center" vertical="center" wrapText="1"/>
    </xf>
    <xf numFmtId="3" fontId="13" fillId="8" borderId="0" xfId="0" applyNumberFormat="1" applyFont="1" applyFill="1" applyBorder="1" applyAlignment="1">
      <alignment horizontal="center" wrapText="1"/>
    </xf>
    <xf numFmtId="0" fontId="56" fillId="0" borderId="0" xfId="0" applyFont="1" applyFill="1" applyBorder="1" applyAlignment="1">
      <alignment horizontal="center" wrapText="1"/>
    </xf>
    <xf numFmtId="0" fontId="43" fillId="0" borderId="0" xfId="0" applyFont="1" applyFill="1" applyBorder="1" applyAlignment="1">
      <alignment horizontal="center"/>
    </xf>
    <xf numFmtId="0" fontId="44" fillId="0" borderId="0" xfId="0" applyFont="1" applyFill="1" applyBorder="1" applyAlignment="1"/>
    <xf numFmtId="0" fontId="51" fillId="0" borderId="1" xfId="0" applyFont="1" applyFill="1" applyBorder="1" applyAlignment="1">
      <alignment horizontal="center"/>
    </xf>
    <xf numFmtId="4" fontId="51" fillId="8" borderId="0" xfId="0" applyNumberFormat="1" applyFont="1" applyFill="1" applyAlignment="1">
      <alignment horizontal="center" vertical="center"/>
    </xf>
    <xf numFmtId="1" fontId="13" fillId="0" borderId="0" xfId="0" applyNumberFormat="1" applyFont="1" applyBorder="1" applyAlignment="1">
      <alignment horizontal="center"/>
    </xf>
    <xf numFmtId="4" fontId="13" fillId="4" borderId="0" xfId="0" applyNumberFormat="1" applyFont="1" applyFill="1" applyBorder="1" applyAlignment="1">
      <alignment horizontal="center" wrapText="1"/>
    </xf>
    <xf numFmtId="4" fontId="13" fillId="4" borderId="0" xfId="0" applyNumberFormat="1" applyFont="1" applyFill="1" applyAlignment="1">
      <alignment horizontal="center"/>
    </xf>
    <xf numFmtId="4" fontId="7" fillId="4" borderId="0" xfId="0" applyNumberFormat="1" applyFont="1" applyFill="1" applyBorder="1" applyAlignment="1">
      <alignment horizontal="center"/>
    </xf>
    <xf numFmtId="165" fontId="107" fillId="0" borderId="0" xfId="0" applyNumberFormat="1" applyFont="1"/>
    <xf numFmtId="0" fontId="34" fillId="0" borderId="0" xfId="0" applyFont="1" applyFill="1" applyBorder="1" applyAlignment="1">
      <alignment horizontal="center" wrapText="1"/>
    </xf>
    <xf numFmtId="0" fontId="6" fillId="8" borderId="0" xfId="0" applyFont="1" applyFill="1" applyBorder="1"/>
    <xf numFmtId="4" fontId="34" fillId="8" borderId="0" xfId="0" applyNumberFormat="1" applyFont="1" applyFill="1" applyBorder="1" applyAlignment="1">
      <alignment horizontal="center"/>
    </xf>
    <xf numFmtId="0" fontId="108" fillId="0" borderId="0" xfId="0" applyFont="1" applyFill="1" applyBorder="1" applyAlignment="1">
      <alignment horizontal="right" vertical="center" indent="1"/>
    </xf>
    <xf numFmtId="0" fontId="109" fillId="0" borderId="0" xfId="0" applyFont="1" applyFill="1" applyBorder="1" applyAlignment="1">
      <alignment horizontal="right" vertical="center" indent="1"/>
    </xf>
    <xf numFmtId="0" fontId="110" fillId="0" borderId="0" xfId="0" applyFont="1" applyFill="1" applyAlignment="1">
      <alignment horizontal="center" vertical="center" wrapText="1"/>
    </xf>
    <xf numFmtId="0" fontId="108" fillId="0" borderId="7" xfId="0" applyFont="1" applyFill="1" applyBorder="1" applyAlignment="1">
      <alignment horizontal="right" vertical="center" indent="1"/>
    </xf>
    <xf numFmtId="4" fontId="13" fillId="12" borderId="0" xfId="0" applyNumberFormat="1" applyFont="1" applyFill="1" applyBorder="1" applyAlignment="1">
      <alignment horizontal="center"/>
    </xf>
    <xf numFmtId="0" fontId="51" fillId="0" borderId="0" xfId="0" applyFont="1" applyBorder="1" applyAlignment="1">
      <alignment wrapText="1"/>
    </xf>
    <xf numFmtId="0" fontId="56" fillId="0" borderId="0" xfId="0" applyFont="1" applyFill="1" applyBorder="1" applyAlignment="1">
      <alignment horizontal="center" wrapText="1"/>
    </xf>
    <xf numFmtId="4" fontId="111" fillId="4" borderId="24" xfId="0" applyNumberFormat="1" applyFont="1" applyFill="1" applyBorder="1" applyAlignment="1">
      <alignment horizontal="center"/>
    </xf>
    <xf numFmtId="0" fontId="0" fillId="4" borderId="43" xfId="0" applyFill="1" applyBorder="1"/>
    <xf numFmtId="4" fontId="54" fillId="0" borderId="24" xfId="0" applyNumberFormat="1" applyFont="1" applyFill="1" applyBorder="1" applyAlignment="1">
      <alignment horizontal="center"/>
    </xf>
    <xf numFmtId="4" fontId="0" fillId="4" borderId="0" xfId="0" applyNumberFormat="1" applyFill="1" applyAlignment="1">
      <alignment horizontal="center"/>
    </xf>
    <xf numFmtId="0" fontId="112" fillId="0" borderId="0" xfId="0" applyFont="1"/>
    <xf numFmtId="0" fontId="113" fillId="0" borderId="0" xfId="0" applyFont="1" applyAlignment="1">
      <alignment horizontal="center"/>
    </xf>
    <xf numFmtId="0" fontId="113" fillId="40" borderId="48" xfId="0" applyFont="1" applyFill="1" applyBorder="1" applyAlignment="1">
      <alignment horizontal="center" vertical="center" wrapText="1"/>
    </xf>
    <xf numFmtId="0" fontId="9" fillId="0" borderId="0" xfId="0" applyFont="1"/>
    <xf numFmtId="0" fontId="9" fillId="40" borderId="48" xfId="0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center"/>
    </xf>
    <xf numFmtId="4" fontId="51" fillId="4" borderId="1" xfId="11" applyNumberFormat="1" applyFont="1" applyFill="1" applyBorder="1" applyAlignment="1" applyProtection="1">
      <alignment horizontal="center" vertical="center"/>
    </xf>
    <xf numFmtId="4" fontId="51" fillId="4" borderId="1" xfId="12" applyNumberFormat="1" applyFont="1" applyFill="1" applyBorder="1" applyAlignment="1" applyProtection="1">
      <alignment horizontal="center" vertical="center"/>
    </xf>
    <xf numFmtId="0" fontId="3" fillId="3" borderId="0" xfId="0" applyFont="1" applyFill="1" applyAlignment="1">
      <alignment horizont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39" fillId="0" borderId="0" xfId="0" applyFont="1" applyFill="1" applyBorder="1" applyAlignment="1">
      <alignment horizontal="left" wrapText="1"/>
    </xf>
    <xf numFmtId="0" fontId="34" fillId="0" borderId="0" xfId="0" applyFont="1" applyAlignment="1">
      <alignment horizontal="left" wrapText="1"/>
    </xf>
    <xf numFmtId="0" fontId="47" fillId="3" borderId="0" xfId="0" applyFont="1" applyFill="1" applyAlignment="1">
      <alignment horizontal="center" vertical="top" wrapText="1"/>
    </xf>
    <xf numFmtId="0" fontId="47" fillId="3" borderId="0" xfId="0" applyFont="1" applyFill="1" applyAlignment="1">
      <alignment horizontal="center" vertical="center" wrapText="1"/>
    </xf>
    <xf numFmtId="0" fontId="40" fillId="3" borderId="0" xfId="77" applyFont="1" applyFill="1" applyBorder="1" applyAlignment="1">
      <alignment horizontal="center" vertical="center" wrapText="1"/>
    </xf>
    <xf numFmtId="0" fontId="13" fillId="3" borderId="0" xfId="0" applyFont="1" applyFill="1" applyAlignment="1">
      <alignment wrapText="1"/>
    </xf>
    <xf numFmtId="0" fontId="13" fillId="3" borderId="0" xfId="0" applyFont="1" applyFill="1" applyAlignment="1">
      <alignment vertical="center" wrapText="1"/>
    </xf>
    <xf numFmtId="4" fontId="6" fillId="0" borderId="0" xfId="0" applyNumberFormat="1" applyFont="1" applyFill="1" applyAlignment="1">
      <alignment horizontal="center" wrapText="1"/>
    </xf>
    <xf numFmtId="4" fontId="6" fillId="0" borderId="0" xfId="0" applyNumberFormat="1" applyFont="1" applyAlignment="1">
      <alignment horizontal="center" wrapText="1"/>
    </xf>
    <xf numFmtId="0" fontId="13" fillId="3" borderId="0" xfId="0" applyFont="1" applyFill="1" applyAlignment="1">
      <alignment vertical="top" wrapText="1"/>
    </xf>
    <xf numFmtId="0" fontId="13" fillId="3" borderId="0" xfId="0" applyFont="1" applyFill="1" applyAlignment="1">
      <alignment horizontal="center" vertical="top" wrapText="1"/>
    </xf>
    <xf numFmtId="0" fontId="13" fillId="3" borderId="0" xfId="0" applyFont="1" applyFill="1" applyAlignment="1">
      <alignment horizontal="center" vertical="center" wrapText="1"/>
    </xf>
    <xf numFmtId="0" fontId="47" fillId="3" borderId="0" xfId="77" applyFont="1" applyFill="1" applyBorder="1" applyAlignment="1">
      <alignment horizontal="center" vertical="top" wrapText="1"/>
    </xf>
    <xf numFmtId="0" fontId="50" fillId="3" borderId="0" xfId="0" applyFont="1" applyFill="1" applyAlignment="1">
      <alignment vertical="top" wrapText="1"/>
    </xf>
    <xf numFmtId="0" fontId="47" fillId="3" borderId="0" xfId="77" applyFont="1" applyFill="1" applyBorder="1" applyAlignment="1">
      <alignment horizontal="center" vertical="center" wrapText="1"/>
    </xf>
    <xf numFmtId="0" fontId="50" fillId="3" borderId="0" xfId="0" applyFont="1" applyFill="1" applyAlignment="1">
      <alignment wrapText="1"/>
    </xf>
    <xf numFmtId="0" fontId="40" fillId="3" borderId="0" xfId="77" applyFont="1" applyFill="1" applyBorder="1" applyAlignment="1">
      <alignment horizontal="center" vertical="top" wrapText="1"/>
    </xf>
    <xf numFmtId="0" fontId="47" fillId="3" borderId="0" xfId="65" applyFont="1" applyFill="1" applyBorder="1" applyAlignment="1">
      <alignment horizontal="center" vertical="top" wrapText="1"/>
    </xf>
    <xf numFmtId="0" fontId="47" fillId="3" borderId="0" xfId="65" applyFont="1" applyFill="1" applyBorder="1" applyAlignment="1">
      <alignment horizontal="center" vertical="center" wrapText="1"/>
    </xf>
    <xf numFmtId="0" fontId="40" fillId="3" borderId="0" xfId="0" applyFont="1" applyFill="1" applyAlignment="1">
      <alignment horizontal="center" vertical="top" wrapText="1"/>
    </xf>
    <xf numFmtId="0" fontId="40" fillId="3" borderId="0" xfId="0" applyFont="1" applyFill="1" applyAlignment="1">
      <alignment horizontal="center" vertical="center" wrapText="1"/>
    </xf>
    <xf numFmtId="0" fontId="34" fillId="0" borderId="0" xfId="0" applyFont="1" applyFill="1" applyAlignment="1">
      <alignment wrapText="1"/>
    </xf>
    <xf numFmtId="0" fontId="3" fillId="3" borderId="0" xfId="0" applyFont="1" applyFill="1" applyBorder="1" applyAlignment="1">
      <alignment horizontal="center" vertical="top"/>
    </xf>
    <xf numFmtId="0" fontId="0" fillId="3" borderId="0" xfId="0" applyFill="1" applyBorder="1" applyAlignment="1">
      <alignment horizontal="center" vertical="top"/>
    </xf>
    <xf numFmtId="0" fontId="0" fillId="0" borderId="0" xfId="0" applyFill="1" applyAlignment="1">
      <alignment wrapText="1"/>
    </xf>
    <xf numFmtId="0" fontId="3" fillId="3" borderId="0" xfId="0" applyFont="1" applyFill="1" applyAlignment="1">
      <alignment horizontal="center" vertical="top" wrapText="1"/>
    </xf>
    <xf numFmtId="0" fontId="0" fillId="3" borderId="0" xfId="0" applyFill="1" applyAlignment="1">
      <alignment vertical="top" wrapText="1"/>
    </xf>
    <xf numFmtId="0" fontId="3" fillId="3" borderId="0" xfId="0" applyFont="1" applyFill="1" applyAlignment="1">
      <alignment horizontal="center" vertical="top"/>
    </xf>
    <xf numFmtId="0" fontId="3" fillId="3" borderId="0" xfId="0" applyFont="1" applyFill="1" applyAlignment="1">
      <alignment vertical="top"/>
    </xf>
    <xf numFmtId="0" fontId="0" fillId="3" borderId="0" xfId="0" applyFill="1" applyAlignment="1">
      <alignment vertical="top"/>
    </xf>
    <xf numFmtId="0" fontId="3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3" borderId="0" xfId="0" applyFill="1" applyAlignment="1">
      <alignment horizontal="center" vertical="top"/>
    </xf>
    <xf numFmtId="0" fontId="0" fillId="3" borderId="0" xfId="0" applyFill="1" applyAlignment="1">
      <alignment horizontal="center" vertical="top" wrapText="1"/>
    </xf>
    <xf numFmtId="0" fontId="0" fillId="0" borderId="0" xfId="0" applyAlignment="1">
      <alignment horizontal="left" wrapText="1"/>
    </xf>
    <xf numFmtId="0" fontId="56" fillId="4" borderId="4" xfId="0" applyFont="1" applyFill="1" applyBorder="1" applyAlignment="1">
      <alignment horizontal="center" wrapText="1"/>
    </xf>
    <xf numFmtId="0" fontId="51" fillId="4" borderId="4" xfId="0" applyFont="1" applyFill="1" applyBorder="1" applyAlignment="1">
      <alignment horizontal="center" wrapText="1"/>
    </xf>
    <xf numFmtId="0" fontId="51" fillId="0" borderId="4" xfId="0" applyFont="1" applyBorder="1" applyAlignment="1">
      <alignment wrapText="1"/>
    </xf>
    <xf numFmtId="0" fontId="51" fillId="0" borderId="0" xfId="0" applyFont="1" applyBorder="1" applyAlignment="1">
      <alignment wrapText="1"/>
    </xf>
    <xf numFmtId="0" fontId="56" fillId="4" borderId="0" xfId="0" applyFont="1" applyFill="1" applyBorder="1" applyAlignment="1">
      <alignment horizontal="center" wrapText="1"/>
    </xf>
    <xf numFmtId="0" fontId="3" fillId="11" borderId="0" xfId="0" applyFont="1" applyFill="1" applyAlignment="1"/>
    <xf numFmtId="0" fontId="0" fillId="0" borderId="0" xfId="0" applyAlignment="1"/>
    <xf numFmtId="0" fontId="0" fillId="0" borderId="11" xfId="0" applyBorder="1" applyAlignment="1"/>
    <xf numFmtId="0" fontId="25" fillId="4" borderId="25" xfId="0" applyFont="1" applyFill="1" applyBorder="1" applyAlignment="1">
      <alignment horizontal="center" wrapText="1"/>
    </xf>
    <xf numFmtId="0" fontId="0" fillId="0" borderId="26" xfId="0" applyFont="1" applyBorder="1" applyAlignment="1">
      <alignment wrapText="1"/>
    </xf>
    <xf numFmtId="0" fontId="0" fillId="0" borderId="5" xfId="0" applyFont="1" applyBorder="1" applyAlignment="1">
      <alignment wrapText="1"/>
    </xf>
    <xf numFmtId="0" fontId="4" fillId="4" borderId="4" xfId="0" applyFont="1" applyFill="1" applyBorder="1" applyAlignment="1">
      <alignment horizontal="center" wrapText="1"/>
    </xf>
    <xf numFmtId="0" fontId="12" fillId="4" borderId="4" xfId="0" applyFont="1" applyFill="1" applyBorder="1" applyAlignment="1">
      <alignment horizontal="center" wrapText="1"/>
    </xf>
    <xf numFmtId="0" fontId="12" fillId="0" borderId="4" xfId="0" applyFont="1" applyBorder="1" applyAlignment="1">
      <alignment wrapText="1"/>
    </xf>
    <xf numFmtId="0" fontId="34" fillId="0" borderId="10" xfId="0" applyFont="1" applyFill="1" applyBorder="1" applyAlignment="1">
      <alignment wrapText="1"/>
    </xf>
    <xf numFmtId="0" fontId="34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2" fontId="35" fillId="0" borderId="10" xfId="0" applyNumberFormat="1" applyFont="1" applyFill="1" applyBorder="1" applyAlignment="1">
      <alignment wrapText="1"/>
    </xf>
    <xf numFmtId="0" fontId="36" fillId="0" borderId="0" xfId="0" applyFont="1" applyFill="1" applyBorder="1" applyAlignment="1">
      <alignment wrapText="1"/>
    </xf>
    <xf numFmtId="0" fontId="35" fillId="11" borderId="0" xfId="0" applyFont="1" applyFill="1" applyBorder="1" applyAlignment="1">
      <alignment horizontal="center" wrapText="1"/>
    </xf>
    <xf numFmtId="0" fontId="52" fillId="11" borderId="0" xfId="0" applyFont="1" applyFill="1" applyAlignment="1">
      <alignment wrapText="1"/>
    </xf>
    <xf numFmtId="0" fontId="12" fillId="0" borderId="0" xfId="0" applyFont="1" applyBorder="1" applyAlignment="1">
      <alignment wrapText="1"/>
    </xf>
    <xf numFmtId="0" fontId="43" fillId="0" borderId="27" xfId="0" applyFont="1" applyFill="1" applyBorder="1" applyAlignment="1">
      <alignment horizontal="center"/>
    </xf>
    <xf numFmtId="0" fontId="44" fillId="0" borderId="28" xfId="0" applyFont="1" applyBorder="1" applyAlignment="1"/>
    <xf numFmtId="0" fontId="44" fillId="0" borderId="18" xfId="0" applyFont="1" applyBorder="1" applyAlignment="1"/>
    <xf numFmtId="0" fontId="44" fillId="0" borderId="19" xfId="0" applyFont="1" applyBorder="1" applyAlignment="1"/>
    <xf numFmtId="0" fontId="43" fillId="0" borderId="29" xfId="0" applyFont="1" applyFill="1" applyBorder="1" applyAlignment="1">
      <alignment horizontal="center" vertical="top" wrapText="1"/>
    </xf>
    <xf numFmtId="0" fontId="44" fillId="0" borderId="21" xfId="0" applyFont="1" applyBorder="1" applyAlignment="1">
      <alignment horizontal="center"/>
    </xf>
    <xf numFmtId="0" fontId="43" fillId="0" borderId="27" xfId="0" applyFont="1" applyFill="1" applyBorder="1" applyAlignment="1">
      <alignment horizontal="center" wrapText="1"/>
    </xf>
    <xf numFmtId="0" fontId="44" fillId="0" borderId="0" xfId="0" applyFont="1" applyBorder="1" applyAlignment="1">
      <alignment wrapText="1"/>
    </xf>
    <xf numFmtId="0" fontId="44" fillId="0" borderId="28" xfId="0" applyFont="1" applyBorder="1" applyAlignment="1">
      <alignment wrapText="1"/>
    </xf>
    <xf numFmtId="0" fontId="44" fillId="0" borderId="4" xfId="0" applyFont="1" applyBorder="1" applyAlignment="1"/>
    <xf numFmtId="0" fontId="43" fillId="0" borderId="15" xfId="0" applyFont="1" applyFill="1" applyBorder="1" applyAlignment="1">
      <alignment horizontal="center" wrapText="1"/>
    </xf>
    <xf numFmtId="0" fontId="44" fillId="0" borderId="16" xfId="0" applyFont="1" applyBorder="1" applyAlignment="1">
      <alignment horizontal="center" wrapText="1"/>
    </xf>
    <xf numFmtId="0" fontId="44" fillId="0" borderId="17" xfId="0" applyFont="1" applyBorder="1" applyAlignment="1">
      <alignment horizontal="center" wrapText="1"/>
    </xf>
    <xf numFmtId="0" fontId="44" fillId="0" borderId="18" xfId="0" applyFont="1" applyBorder="1" applyAlignment="1">
      <alignment horizontal="center" wrapText="1"/>
    </xf>
    <xf numFmtId="0" fontId="44" fillId="0" borderId="4" xfId="0" applyFont="1" applyBorder="1" applyAlignment="1">
      <alignment horizontal="center" wrapText="1"/>
    </xf>
    <xf numFmtId="0" fontId="44" fillId="0" borderId="19" xfId="0" applyFont="1" applyBorder="1" applyAlignment="1">
      <alignment horizontal="center" wrapText="1"/>
    </xf>
    <xf numFmtId="0" fontId="43" fillId="0" borderId="20" xfId="0" applyFont="1" applyFill="1" applyBorder="1" applyAlignment="1">
      <alignment horizontal="center" vertical="top" wrapText="1"/>
    </xf>
    <xf numFmtId="0" fontId="44" fillId="0" borderId="21" xfId="0" applyFont="1" applyBorder="1" applyAlignment="1">
      <alignment horizontal="center" vertical="top" wrapText="1"/>
    </xf>
    <xf numFmtId="0" fontId="31" fillId="0" borderId="0" xfId="0" applyFont="1" applyFill="1" applyAlignment="1"/>
    <xf numFmtId="0" fontId="44" fillId="0" borderId="10" xfId="0" applyFont="1" applyFill="1" applyBorder="1" applyAlignment="1"/>
    <xf numFmtId="0" fontId="44" fillId="0" borderId="0" xfId="0" applyFont="1" applyFill="1" applyAlignment="1"/>
    <xf numFmtId="0" fontId="43" fillId="4" borderId="25" xfId="0" applyFont="1" applyFill="1" applyBorder="1" applyAlignment="1">
      <alignment horizontal="center" wrapText="1"/>
    </xf>
    <xf numFmtId="0" fontId="44" fillId="0" borderId="26" xfId="0" applyFont="1" applyBorder="1" applyAlignment="1"/>
    <xf numFmtId="0" fontId="44" fillId="0" borderId="5" xfId="0" applyFont="1" applyBorder="1" applyAlignment="1"/>
    <xf numFmtId="0" fontId="43" fillId="4" borderId="26" xfId="0" applyFont="1" applyFill="1" applyBorder="1" applyAlignment="1">
      <alignment horizontal="center" wrapText="1"/>
    </xf>
    <xf numFmtId="0" fontId="54" fillId="4" borderId="26" xfId="0" applyFont="1" applyFill="1" applyBorder="1" applyAlignment="1">
      <alignment horizontal="center" wrapText="1"/>
    </xf>
    <xf numFmtId="0" fontId="44" fillId="4" borderId="26" xfId="0" applyFont="1" applyFill="1" applyBorder="1" applyAlignment="1">
      <alignment horizontal="center" wrapText="1"/>
    </xf>
    <xf numFmtId="0" fontId="44" fillId="0" borderId="16" xfId="0" applyFont="1" applyBorder="1" applyAlignment="1">
      <alignment wrapText="1"/>
    </xf>
    <xf numFmtId="0" fontId="44" fillId="0" borderId="17" xfId="0" applyFont="1" applyBorder="1" applyAlignment="1">
      <alignment wrapText="1"/>
    </xf>
    <xf numFmtId="0" fontId="43" fillId="0" borderId="15" xfId="0" applyFont="1" applyFill="1" applyBorder="1" applyAlignment="1">
      <alignment horizontal="center"/>
    </xf>
    <xf numFmtId="0" fontId="44" fillId="0" borderId="17" xfId="0" applyFont="1" applyBorder="1" applyAlignment="1"/>
    <xf numFmtId="0" fontId="56" fillId="12" borderId="25" xfId="0" applyFont="1" applyFill="1" applyBorder="1" applyAlignment="1">
      <alignment horizontal="center" wrapText="1"/>
    </xf>
    <xf numFmtId="0" fontId="31" fillId="12" borderId="26" xfId="0" applyFont="1" applyFill="1" applyBorder="1" applyAlignment="1">
      <alignment horizontal="center" wrapText="1"/>
    </xf>
    <xf numFmtId="0" fontId="31" fillId="12" borderId="5" xfId="0" applyFont="1" applyFill="1" applyBorder="1" applyAlignment="1">
      <alignment horizontal="center" wrapText="1"/>
    </xf>
    <xf numFmtId="0" fontId="44" fillId="0" borderId="26" xfId="0" applyFont="1" applyBorder="1" applyAlignment="1">
      <alignment wrapText="1"/>
    </xf>
    <xf numFmtId="0" fontId="56" fillId="4" borderId="0" xfId="0" applyFont="1" applyFill="1" applyAlignment="1">
      <alignment horizontal="center"/>
    </xf>
    <xf numFmtId="0" fontId="44" fillId="0" borderId="5" xfId="0" applyFont="1" applyBorder="1" applyAlignment="1">
      <alignment wrapText="1"/>
    </xf>
    <xf numFmtId="0" fontId="25" fillId="0" borderId="0" xfId="0" applyFont="1" applyFill="1" applyBorder="1" applyAlignment="1">
      <alignment horizontal="center" wrapText="1"/>
    </xf>
    <xf numFmtId="0" fontId="53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wrapText="1"/>
    </xf>
    <xf numFmtId="0" fontId="56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wrapText="1"/>
    </xf>
    <xf numFmtId="0" fontId="34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0" fontId="56" fillId="4" borderId="25" xfId="0" applyFont="1" applyFill="1" applyBorder="1" applyAlignment="1">
      <alignment horizontal="center"/>
    </xf>
    <xf numFmtId="0" fontId="44" fillId="4" borderId="26" xfId="0" applyFont="1" applyFill="1" applyBorder="1" applyAlignment="1"/>
    <xf numFmtId="0" fontId="44" fillId="4" borderId="5" xfId="0" applyFont="1" applyFill="1" applyBorder="1" applyAlignment="1"/>
    <xf numFmtId="0" fontId="43" fillId="0" borderId="0" xfId="0" applyFont="1" applyFill="1" applyBorder="1" applyAlignment="1">
      <alignment horizontal="center" wrapText="1"/>
    </xf>
    <xf numFmtId="0" fontId="54" fillId="0" borderId="0" xfId="0" applyFont="1" applyFill="1" applyBorder="1" applyAlignment="1">
      <alignment horizontal="center" wrapText="1"/>
    </xf>
    <xf numFmtId="0" fontId="44" fillId="0" borderId="0" xfId="0" applyFont="1" applyFill="1" applyBorder="1" applyAlignment="1">
      <alignment horizontal="center" wrapText="1"/>
    </xf>
    <xf numFmtId="0" fontId="44" fillId="0" borderId="0" xfId="0" applyFont="1" applyFill="1" applyBorder="1" applyAlignment="1">
      <alignment wrapText="1"/>
    </xf>
    <xf numFmtId="0" fontId="31" fillId="0" borderId="0" xfId="0" applyFont="1" applyFill="1" applyBorder="1" applyAlignment="1">
      <alignment horizontal="center" wrapText="1"/>
    </xf>
    <xf numFmtId="0" fontId="43" fillId="0" borderId="0" xfId="0" applyFont="1" applyFill="1" applyBorder="1" applyAlignment="1">
      <alignment horizontal="center"/>
    </xf>
    <xf numFmtId="0" fontId="44" fillId="0" borderId="0" xfId="0" applyFont="1" applyFill="1" applyBorder="1" applyAlignment="1"/>
    <xf numFmtId="0" fontId="56" fillId="4" borderId="25" xfId="0" applyFont="1" applyFill="1" applyBorder="1" applyAlignment="1">
      <alignment horizontal="center" wrapText="1"/>
    </xf>
    <xf numFmtId="0" fontId="44" fillId="4" borderId="5" xfId="0" applyFont="1" applyFill="1" applyBorder="1" applyAlignment="1">
      <alignment horizontal="center" wrapText="1"/>
    </xf>
    <xf numFmtId="4" fontId="116" fillId="43" borderId="43" xfId="1029" applyNumberFormat="1" applyFont="1" applyFill="1" applyBorder="1" applyAlignment="1">
      <alignment horizontal="center" vertical="center" shrinkToFit="1"/>
    </xf>
    <xf numFmtId="2" fontId="51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vertical="center" wrapText="1"/>
    </xf>
    <xf numFmtId="0" fontId="0" fillId="0" borderId="43" xfId="0" applyFill="1" applyBorder="1" applyAlignment="1">
      <alignment vertical="center" wrapText="1"/>
    </xf>
    <xf numFmtId="4" fontId="51" fillId="0" borderId="12" xfId="11" applyNumberFormat="1" applyFont="1" applyFill="1" applyBorder="1" applyAlignment="1" applyProtection="1">
      <alignment horizontal="center" vertical="center"/>
    </xf>
    <xf numFmtId="0" fontId="51" fillId="0" borderId="13" xfId="0" applyFont="1" applyFill="1" applyBorder="1"/>
    <xf numFmtId="4" fontId="115" fillId="0" borderId="52" xfId="1035" applyNumberFormat="1" applyFont="1" applyFill="1" applyBorder="1" applyAlignment="1">
      <alignment horizontal="center" vertical="center" shrinkToFit="1"/>
    </xf>
    <xf numFmtId="4" fontId="51" fillId="0" borderId="1" xfId="0" applyNumberFormat="1" applyFont="1" applyFill="1" applyBorder="1" applyAlignment="1">
      <alignment horizontal="center" wrapText="1"/>
    </xf>
    <xf numFmtId="4" fontId="51" fillId="0" borderId="1" xfId="11" applyNumberFormat="1" applyFont="1" applyFill="1" applyBorder="1" applyAlignment="1" applyProtection="1">
      <alignment horizontal="center" vertical="center" wrapText="1"/>
    </xf>
    <xf numFmtId="0" fontId="51" fillId="0" borderId="14" xfId="0" applyFont="1" applyFill="1" applyBorder="1"/>
    <xf numFmtId="4" fontId="12" fillId="0" borderId="1" xfId="0" applyNumberFormat="1" applyFont="1" applyFill="1" applyBorder="1" applyAlignment="1">
      <alignment horizontal="center" vertical="center"/>
    </xf>
    <xf numFmtId="4" fontId="116" fillId="43" borderId="55" xfId="1029" applyNumberFormat="1" applyFont="1" applyFill="1" applyBorder="1" applyAlignment="1">
      <alignment horizontal="center" vertical="center" shrinkToFit="1"/>
    </xf>
    <xf numFmtId="2" fontId="51" fillId="0" borderId="1" xfId="0" applyNumberFormat="1" applyFont="1" applyFill="1" applyBorder="1" applyAlignment="1">
      <alignment horizontal="right"/>
    </xf>
  </cellXfs>
  <cellStyles count="1055">
    <cellStyle name="???????????" xfId="170"/>
    <cellStyle name="???????_2++" xfId="171"/>
    <cellStyle name="20 % - Akzent1" xfId="187"/>
    <cellStyle name="20 % - Akzent1 2" xfId="502"/>
    <cellStyle name="20 % - Akzent1 3" xfId="371"/>
    <cellStyle name="20 % - Akzent2" xfId="188"/>
    <cellStyle name="20 % - Akzent2 2" xfId="503"/>
    <cellStyle name="20 % - Akzent2 3" xfId="372"/>
    <cellStyle name="20 % - Akzent3" xfId="189"/>
    <cellStyle name="20 % - Akzent3 2" xfId="504"/>
    <cellStyle name="20 % - Akzent3 3" xfId="373"/>
    <cellStyle name="20 % - Akzent4" xfId="190"/>
    <cellStyle name="20 % - Akzent4 2" xfId="505"/>
    <cellStyle name="20 % - Akzent4 3" xfId="374"/>
    <cellStyle name="20 % - Akzent5" xfId="191"/>
    <cellStyle name="20 % - Akzent5 2" xfId="506"/>
    <cellStyle name="20 % - Akzent5 3" xfId="375"/>
    <cellStyle name="20 % - Akzent6" xfId="192"/>
    <cellStyle name="20 % - Akzent6 2" xfId="507"/>
    <cellStyle name="20 % - Akzent6 3" xfId="376"/>
    <cellStyle name="20% - Accent1 2" xfId="193"/>
    <cellStyle name="20% - Accent1 3" xfId="328"/>
    <cellStyle name="20% - Accent2 2" xfId="194"/>
    <cellStyle name="20% - Accent2 3" xfId="329"/>
    <cellStyle name="20% - Accent3 2" xfId="195"/>
    <cellStyle name="20% - Accent3 3" xfId="330"/>
    <cellStyle name="20% - Accent4 2" xfId="196"/>
    <cellStyle name="20% - Accent4 3" xfId="331"/>
    <cellStyle name="20% - Accent5 2" xfId="197"/>
    <cellStyle name="20% - Accent5 3" xfId="332"/>
    <cellStyle name="20% - Accent6 2" xfId="198"/>
    <cellStyle name="20% - Accent6 3" xfId="333"/>
    <cellStyle name="2x indented GHG Textfiels" xfId="1"/>
    <cellStyle name="2x indented GHG Textfiels 2" xfId="199"/>
    <cellStyle name="2x indented GHG Textfiels 2 2" xfId="200"/>
    <cellStyle name="2x indented GHG Textfiels 3" xfId="201"/>
    <cellStyle name="2x indented GHG Textfiels 3 2" xfId="529"/>
    <cellStyle name="2x indented GHG Textfiels 3 2 2" xfId="659"/>
    <cellStyle name="2x indented GHG Textfiels 3 2 2 2" xfId="874"/>
    <cellStyle name="2x indented GHG Textfiels 3 2 3" xfId="837"/>
    <cellStyle name="2x indented GHG Textfiels 3 3" xfId="477"/>
    <cellStyle name="2x indented GHG Textfiels 3 3 2" xfId="764"/>
    <cellStyle name="2x indented GHG Textfiels 3 3 2 2" xfId="979"/>
    <cellStyle name="2x indented GHG Textfiels 3 3 3" xfId="766"/>
    <cellStyle name="2x indented GHG Textfiels 3 3 3 2" xfId="981"/>
    <cellStyle name="2x indented GHG Textfiels 3 3 4" xfId="662"/>
    <cellStyle name="2x indented GHG Textfiels 3 3 4 2" xfId="877"/>
    <cellStyle name="2x indented GHG Textfiels 4" xfId="143"/>
    <cellStyle name="2x indented GHG Textfiels 5" xfId="1027"/>
    <cellStyle name="40 % - Akzent1" xfId="202"/>
    <cellStyle name="40 % - Akzent1 2" xfId="508"/>
    <cellStyle name="40 % - Akzent1 3" xfId="377"/>
    <cellStyle name="40 % - Akzent2" xfId="203"/>
    <cellStyle name="40 % - Akzent2 2" xfId="509"/>
    <cellStyle name="40 % - Akzent2 3" xfId="378"/>
    <cellStyle name="40 % - Akzent3" xfId="204"/>
    <cellStyle name="40 % - Akzent3 2" xfId="510"/>
    <cellStyle name="40 % - Akzent3 3" xfId="379"/>
    <cellStyle name="40 % - Akzent4" xfId="205"/>
    <cellStyle name="40 % - Akzent4 2" xfId="511"/>
    <cellStyle name="40 % - Akzent4 3" xfId="380"/>
    <cellStyle name="40 % - Akzent5" xfId="206"/>
    <cellStyle name="40 % - Akzent5 2" xfId="512"/>
    <cellStyle name="40 % - Akzent5 3" xfId="381"/>
    <cellStyle name="40 % - Akzent6" xfId="207"/>
    <cellStyle name="40 % - Akzent6 2" xfId="513"/>
    <cellStyle name="40 % - Akzent6 3" xfId="382"/>
    <cellStyle name="40% - Accent1 2" xfId="208"/>
    <cellStyle name="40% - Accent1 3" xfId="334"/>
    <cellStyle name="40% - Accent2 2" xfId="209"/>
    <cellStyle name="40% - Accent2 3" xfId="335"/>
    <cellStyle name="40% - Accent3 2" xfId="210"/>
    <cellStyle name="40% - Accent3 3" xfId="336"/>
    <cellStyle name="40% - Accent4 2" xfId="211"/>
    <cellStyle name="40% - Accent4 3" xfId="337"/>
    <cellStyle name="40% - Accent5 2" xfId="212"/>
    <cellStyle name="40% - Accent5 3" xfId="338"/>
    <cellStyle name="40% - Accent6 2" xfId="213"/>
    <cellStyle name="40% - Accent6 3" xfId="339"/>
    <cellStyle name="5x indented GHG Textfiels" xfId="2"/>
    <cellStyle name="5x indented GHG Textfiels 2" xfId="214"/>
    <cellStyle name="5x indented GHG Textfiels 2 2" xfId="215"/>
    <cellStyle name="5x indented GHG Textfiels 3" xfId="216"/>
    <cellStyle name="5x indented GHG Textfiels 3 2" xfId="530"/>
    <cellStyle name="5x indented GHG Textfiels 3 3" xfId="478"/>
    <cellStyle name="5x indented GHG Textfiels 3 3 2" xfId="765"/>
    <cellStyle name="5x indented GHG Textfiels 3 3 2 2" xfId="980"/>
    <cellStyle name="5x indented GHG Textfiels 3 3 3" xfId="712"/>
    <cellStyle name="5x indented GHG Textfiels 3 3 3 2" xfId="927"/>
    <cellStyle name="5x indented GHG Textfiels 3 3 4" xfId="796"/>
    <cellStyle name="5x indented GHG Textfiels 3 3 4 2" xfId="1011"/>
    <cellStyle name="5x indented GHG Textfiels 3 3 5" xfId="833"/>
    <cellStyle name="5x indented GHG Textfiels 4" xfId="147"/>
    <cellStyle name="5x indented GHG Textfiels 5" xfId="1031"/>
    <cellStyle name="5x indented GHG Textfiels_Table 4(II)" xfId="320"/>
    <cellStyle name="60 % - Akzent1" xfId="217"/>
    <cellStyle name="60 % - Akzent1 2" xfId="514"/>
    <cellStyle name="60 % - Akzent1 3" xfId="383"/>
    <cellStyle name="60 % - Akzent2" xfId="218"/>
    <cellStyle name="60 % - Akzent2 2" xfId="515"/>
    <cellStyle name="60 % - Akzent2 3" xfId="384"/>
    <cellStyle name="60 % - Akzent3" xfId="219"/>
    <cellStyle name="60 % - Akzent3 2" xfId="516"/>
    <cellStyle name="60 % - Akzent3 3" xfId="385"/>
    <cellStyle name="60 % - Akzent4" xfId="220"/>
    <cellStyle name="60 % - Akzent4 2" xfId="517"/>
    <cellStyle name="60 % - Akzent4 3" xfId="386"/>
    <cellStyle name="60 % - Akzent5" xfId="221"/>
    <cellStyle name="60 % - Akzent5 2" xfId="518"/>
    <cellStyle name="60 % - Akzent5 3" xfId="387"/>
    <cellStyle name="60 % - Akzent6" xfId="222"/>
    <cellStyle name="60 % - Akzent6 2" xfId="519"/>
    <cellStyle name="60 % - Akzent6 3" xfId="388"/>
    <cellStyle name="60% - Accent1 2" xfId="223"/>
    <cellStyle name="60% - Accent1 3" xfId="340"/>
    <cellStyle name="60% - Accent2 2" xfId="224"/>
    <cellStyle name="60% - Accent2 3" xfId="341"/>
    <cellStyle name="60% - Accent3 2" xfId="225"/>
    <cellStyle name="60% - Accent3 3" xfId="342"/>
    <cellStyle name="60% - Accent4 2" xfId="226"/>
    <cellStyle name="60% - Accent4 3" xfId="343"/>
    <cellStyle name="60% - Accent5 2" xfId="227"/>
    <cellStyle name="60% - Accent5 3" xfId="344"/>
    <cellStyle name="60% - Accent6 2" xfId="228"/>
    <cellStyle name="60% - Accent6 3" xfId="345"/>
    <cellStyle name="Accent1 2" xfId="229"/>
    <cellStyle name="Accent1 3" xfId="346"/>
    <cellStyle name="Accent1 4" xfId="479"/>
    <cellStyle name="Accent2 2" xfId="230"/>
    <cellStyle name="Accent2 3" xfId="347"/>
    <cellStyle name="Accent2 4" xfId="480"/>
    <cellStyle name="Accent3 2" xfId="231"/>
    <cellStyle name="Accent3 3" xfId="348"/>
    <cellStyle name="Accent3 4" xfId="481"/>
    <cellStyle name="Accent4 2" xfId="232"/>
    <cellStyle name="Accent4 3" xfId="349"/>
    <cellStyle name="Accent4 4" xfId="482"/>
    <cellStyle name="Accent5 2" xfId="233"/>
    <cellStyle name="Accent5 3" xfId="350"/>
    <cellStyle name="Accent5 4" xfId="483"/>
    <cellStyle name="Accent6 2" xfId="234"/>
    <cellStyle name="Accent6 3" xfId="351"/>
    <cellStyle name="Accent6 4" xfId="484"/>
    <cellStyle name="AggblueBoldCels" xfId="235"/>
    <cellStyle name="AggblueBoldCels 2" xfId="236"/>
    <cellStyle name="AggblueCels" xfId="166"/>
    <cellStyle name="AggblueCels 2" xfId="237"/>
    <cellStyle name="AggblueCels 3" xfId="1046"/>
    <cellStyle name="AggblueCels_1x" xfId="165"/>
    <cellStyle name="AggBoldCells" xfId="141"/>
    <cellStyle name="AggBoldCells 2" xfId="238"/>
    <cellStyle name="AggBoldCells 3" xfId="321"/>
    <cellStyle name="AggBoldCells 4" xfId="473"/>
    <cellStyle name="AggBoldCells 5" xfId="1026"/>
    <cellStyle name="AggCels" xfId="144"/>
    <cellStyle name="AggCels 2" xfId="239"/>
    <cellStyle name="AggCels 3" xfId="322"/>
    <cellStyle name="AggCels 4" xfId="474"/>
    <cellStyle name="AggCels 5" xfId="1028"/>
    <cellStyle name="AggCels_T(2)" xfId="142"/>
    <cellStyle name="AggGreen" xfId="157"/>
    <cellStyle name="AggGreen 2" xfId="240"/>
    <cellStyle name="AggGreen 2 2" xfId="532"/>
    <cellStyle name="AggGreen 2 2 2" xfId="709"/>
    <cellStyle name="AggGreen 2 2 2 2" xfId="924"/>
    <cellStyle name="AggGreen 2 2 3" xfId="839"/>
    <cellStyle name="AggGreen 2 3" xfId="390"/>
    <cellStyle name="AggGreen 2 3 2" xfId="729"/>
    <cellStyle name="AggGreen 2 3 2 2" xfId="944"/>
    <cellStyle name="AggGreen 2 3 3" xfId="798"/>
    <cellStyle name="AggGreen 2 3 3 2" xfId="1013"/>
    <cellStyle name="AggGreen 2 3 4" xfId="794"/>
    <cellStyle name="AggGreen 2 3 4 2" xfId="1009"/>
    <cellStyle name="AggGreen 3" xfId="531"/>
    <cellStyle name="AggGreen 3 2" xfId="658"/>
    <cellStyle name="AggGreen 3 2 2" xfId="873"/>
    <cellStyle name="AggGreen 3 3" xfId="838"/>
    <cellStyle name="AggGreen 4" xfId="389"/>
    <cellStyle name="AggGreen 4 2" xfId="728"/>
    <cellStyle name="AggGreen 4 2 2" xfId="943"/>
    <cellStyle name="AggGreen 4 3" xfId="643"/>
    <cellStyle name="AggGreen 4 3 2" xfId="858"/>
    <cellStyle name="AggGreen 4 4" xfId="761"/>
    <cellStyle name="AggGreen 4 4 2" xfId="976"/>
    <cellStyle name="AggGreen 5" xfId="184"/>
    <cellStyle name="AggGreen 6" xfId="1041"/>
    <cellStyle name="AggGreen_Bbdr" xfId="158"/>
    <cellStyle name="AggGreen12" xfId="155"/>
    <cellStyle name="AggGreen12 2" xfId="241"/>
    <cellStyle name="AggGreen12 2 2" xfId="534"/>
    <cellStyle name="AggGreen12 2 2 2" xfId="727"/>
    <cellStyle name="AggGreen12 2 2 2 2" xfId="942"/>
    <cellStyle name="AggGreen12 2 2 3" xfId="841"/>
    <cellStyle name="AggGreen12 2 3" xfId="392"/>
    <cellStyle name="AggGreen12 2 3 2" xfId="731"/>
    <cellStyle name="AggGreen12 2 3 2 2" xfId="946"/>
    <cellStyle name="AggGreen12 2 3 3" xfId="680"/>
    <cellStyle name="AggGreen12 2 3 3 2" xfId="895"/>
    <cellStyle name="AggGreen12 2 3 4" xfId="760"/>
    <cellStyle name="AggGreen12 2 3 4 2" xfId="975"/>
    <cellStyle name="AggGreen12 3" xfId="533"/>
    <cellStyle name="AggGreen12 3 2" xfId="657"/>
    <cellStyle name="AggGreen12 3 2 2" xfId="872"/>
    <cellStyle name="AggGreen12 3 3" xfId="840"/>
    <cellStyle name="AggGreen12 4" xfId="391"/>
    <cellStyle name="AggGreen12 4 2" xfId="730"/>
    <cellStyle name="AggGreen12 4 2 2" xfId="945"/>
    <cellStyle name="AggGreen12 4 3" xfId="782"/>
    <cellStyle name="AggGreen12 4 3 2" xfId="997"/>
    <cellStyle name="AggGreen12 4 4" xfId="793"/>
    <cellStyle name="AggGreen12 4 4 2" xfId="1008"/>
    <cellStyle name="AggGreen12 5" xfId="182"/>
    <cellStyle name="AggGreen12 6" xfId="1038"/>
    <cellStyle name="AggOrange" xfId="150"/>
    <cellStyle name="AggOrange 2" xfId="242"/>
    <cellStyle name="AggOrange 2 2" xfId="536"/>
    <cellStyle name="AggOrange 2 2 2" xfId="656"/>
    <cellStyle name="AggOrange 2 2 2 2" xfId="871"/>
    <cellStyle name="AggOrange 2 2 3" xfId="843"/>
    <cellStyle name="AggOrange 2 3" xfId="394"/>
    <cellStyle name="AggOrange 2 3 2" xfId="733"/>
    <cellStyle name="AggOrange 2 3 2 2" xfId="948"/>
    <cellStyle name="AggOrange 2 3 3" xfId="640"/>
    <cellStyle name="AggOrange 2 3 3 2" xfId="855"/>
    <cellStyle name="AggOrange 2 3 4" xfId="655"/>
    <cellStyle name="AggOrange 2 3 4 2" xfId="870"/>
    <cellStyle name="AggOrange 3" xfId="535"/>
    <cellStyle name="AggOrange 3 2" xfId="775"/>
    <cellStyle name="AggOrange 3 2 2" xfId="990"/>
    <cellStyle name="AggOrange 3 3" xfId="842"/>
    <cellStyle name="AggOrange 4" xfId="393"/>
    <cellStyle name="AggOrange 4 2" xfId="732"/>
    <cellStyle name="AggOrange 4 2 2" xfId="947"/>
    <cellStyle name="AggOrange 4 3" xfId="721"/>
    <cellStyle name="AggOrange 4 3 2" xfId="936"/>
    <cellStyle name="AggOrange 4 4" xfId="695"/>
    <cellStyle name="AggOrange 4 4 2" xfId="910"/>
    <cellStyle name="AggOrange 5" xfId="178"/>
    <cellStyle name="AggOrange 6" xfId="1034"/>
    <cellStyle name="AggOrange_B_border" xfId="161"/>
    <cellStyle name="AggOrange9" xfId="149"/>
    <cellStyle name="AggOrange9 2" xfId="243"/>
    <cellStyle name="AggOrange9 2 2" xfId="538"/>
    <cellStyle name="AggOrange9 2 2 2" xfId="774"/>
    <cellStyle name="AggOrange9 2 2 2 2" xfId="989"/>
    <cellStyle name="AggOrange9 2 2 3" xfId="845"/>
    <cellStyle name="AggOrange9 2 3" xfId="396"/>
    <cellStyle name="AggOrange9 2 3 2" xfId="735"/>
    <cellStyle name="AggOrange9 2 3 2 2" xfId="950"/>
    <cellStyle name="AggOrange9 2 3 3" xfId="781"/>
    <cellStyle name="AggOrange9 2 3 3 2" xfId="996"/>
    <cellStyle name="AggOrange9 2 3 4" xfId="795"/>
    <cellStyle name="AggOrange9 2 3 4 2" xfId="1010"/>
    <cellStyle name="AggOrange9 3" xfId="537"/>
    <cellStyle name="AggOrange9 3 2" xfId="726"/>
    <cellStyle name="AggOrange9 3 2 2" xfId="941"/>
    <cellStyle name="AggOrange9 3 3" xfId="844"/>
    <cellStyle name="AggOrange9 4" xfId="395"/>
    <cellStyle name="AggOrange9 4 2" xfId="734"/>
    <cellStyle name="AggOrange9 4 2 2" xfId="949"/>
    <cellStyle name="AggOrange9 4 3" xfId="679"/>
    <cellStyle name="AggOrange9 4 3 2" xfId="894"/>
    <cellStyle name="AggOrange9 4 4" xfId="725"/>
    <cellStyle name="AggOrange9 4 4 2" xfId="940"/>
    <cellStyle name="AggOrange9 5" xfId="177"/>
    <cellStyle name="AggOrange9 6" xfId="1033"/>
    <cellStyle name="AggOrangeLB_2x" xfId="160"/>
    <cellStyle name="AggOrangeLBorder" xfId="162"/>
    <cellStyle name="AggOrangeLBorder 2" xfId="244"/>
    <cellStyle name="AggOrangeLBorder 2 2" xfId="540"/>
    <cellStyle name="AggOrangeLBorder 2 3" xfId="398"/>
    <cellStyle name="AggOrangeLBorder 2 3 2" xfId="737"/>
    <cellStyle name="AggOrangeLBorder 2 3 2 2" xfId="952"/>
    <cellStyle name="AggOrangeLBorder 2 3 3" xfId="677"/>
    <cellStyle name="AggOrangeLBorder 2 3 3 2" xfId="892"/>
    <cellStyle name="AggOrangeLBorder 2 3 4" xfId="703"/>
    <cellStyle name="AggOrangeLBorder 2 3 4 2" xfId="918"/>
    <cellStyle name="AggOrangeLBorder 2 3 5" xfId="823"/>
    <cellStyle name="AggOrangeLBorder 3" xfId="539"/>
    <cellStyle name="AggOrangeLBorder 4" xfId="397"/>
    <cellStyle name="AggOrangeLBorder 4 2" xfId="736"/>
    <cellStyle name="AggOrangeLBorder 4 2 2" xfId="951"/>
    <cellStyle name="AggOrangeLBorder 4 3" xfId="678"/>
    <cellStyle name="AggOrangeLBorder 4 3 2" xfId="893"/>
    <cellStyle name="AggOrangeLBorder 4 4" xfId="699"/>
    <cellStyle name="AggOrangeLBorder 4 4 2" xfId="914"/>
    <cellStyle name="AggOrangeLBorder 4 5" xfId="822"/>
    <cellStyle name="AggOrangeLBorder 5" xfId="185"/>
    <cellStyle name="AggOrangeLBorder 6" xfId="1042"/>
    <cellStyle name="AggOrangeRBorder" xfId="152"/>
    <cellStyle name="AggOrangeRBorder 2" xfId="245"/>
    <cellStyle name="AggOrangeRBorder 2 2" xfId="542"/>
    <cellStyle name="AggOrangeRBorder 2 2 2" xfId="654"/>
    <cellStyle name="AggOrangeRBorder 2 2 2 2" xfId="869"/>
    <cellStyle name="AggOrangeRBorder 2 3" xfId="400"/>
    <cellStyle name="AggOrangeRBorder 2 3 2" xfId="739"/>
    <cellStyle name="AggOrangeRBorder 2 3 2 2" xfId="954"/>
    <cellStyle name="AggOrangeRBorder 2 3 3" xfId="715"/>
    <cellStyle name="AggOrangeRBorder 2 3 3 2" xfId="930"/>
    <cellStyle name="AggOrangeRBorder 2 3 4" xfId="697"/>
    <cellStyle name="AggOrangeRBorder 2 3 4 2" xfId="912"/>
    <cellStyle name="AggOrangeRBorder 2 3 5" xfId="825"/>
    <cellStyle name="AggOrangeRBorder 3" xfId="541"/>
    <cellStyle name="AggOrangeRBorder 3 2" xfId="175"/>
    <cellStyle name="AggOrangeRBorder 3 2 2" xfId="773"/>
    <cellStyle name="AggOrangeRBorder 3 2 3" xfId="988"/>
    <cellStyle name="AggOrangeRBorder 4" xfId="399"/>
    <cellStyle name="AggOrangeRBorder 4 2" xfId="738"/>
    <cellStyle name="AggOrangeRBorder 4 2 2" xfId="953"/>
    <cellStyle name="AggOrangeRBorder 4 3" xfId="771"/>
    <cellStyle name="AggOrangeRBorder 4 3 2" xfId="986"/>
    <cellStyle name="AggOrangeRBorder 4 4" xfId="792"/>
    <cellStyle name="AggOrangeRBorder 4 4 2" xfId="1007"/>
    <cellStyle name="AggOrangeRBorder 4 5" xfId="824"/>
    <cellStyle name="AggOrangeRBorder 5" xfId="180"/>
    <cellStyle name="AggOrangeRBorder 6" xfId="1035"/>
    <cellStyle name="AggOrangeRBorder_CRFReport-template" xfId="163"/>
    <cellStyle name="Akzent1" xfId="246"/>
    <cellStyle name="Akzent2" xfId="247"/>
    <cellStyle name="Akzent3" xfId="248"/>
    <cellStyle name="Akzent4" xfId="249"/>
    <cellStyle name="Akzent5" xfId="250"/>
    <cellStyle name="Akzent6" xfId="251"/>
    <cellStyle name="Ausgabe" xfId="252"/>
    <cellStyle name="Ausgabe 2" xfId="520"/>
    <cellStyle name="Ausgabe 2 2" xfId="776"/>
    <cellStyle name="Ausgabe 2 2 2" xfId="991"/>
    <cellStyle name="Ausgabe 2 3" xfId="661"/>
    <cellStyle name="Ausgabe 2 3 2" xfId="876"/>
    <cellStyle name="Ausgabe 2 4" xfId="834"/>
    <cellStyle name="Ausgabe 3" xfId="411"/>
    <cellStyle name="Ausgabe 3 2" xfId="748"/>
    <cellStyle name="Ausgabe 3 2 2" xfId="963"/>
    <cellStyle name="Ausgabe 3 3" xfId="667"/>
    <cellStyle name="Ausgabe 3 3 2" xfId="882"/>
    <cellStyle name="Ausgabe 3 4" xfId="831"/>
    <cellStyle name="Ausgabe 4" xfId="672"/>
    <cellStyle name="Ausgabe 4 2" xfId="887"/>
    <cellStyle name="Ausgabe 5" xfId="791"/>
    <cellStyle name="Ausgabe 5 2" xfId="1006"/>
    <cellStyle name="Ausgabe 6" xfId="807"/>
    <cellStyle name="Bad 2" xfId="253"/>
    <cellStyle name="Bad 3" xfId="352"/>
    <cellStyle name="Bad 4" xfId="492"/>
    <cellStyle name="Berechnung" xfId="254"/>
    <cellStyle name="Berechnung 2" xfId="521"/>
    <cellStyle name="Berechnung 2 2" xfId="777"/>
    <cellStyle name="Berechnung 2 2 2" xfId="992"/>
    <cellStyle name="Berechnung 2 3" xfId="642"/>
    <cellStyle name="Berechnung 2 3 2" xfId="857"/>
    <cellStyle name="Berechnung 2 4" xfId="698"/>
    <cellStyle name="Berechnung 2 4 2" xfId="913"/>
    <cellStyle name="Berechnung 2 5" xfId="835"/>
    <cellStyle name="Berechnung 3" xfId="401"/>
    <cellStyle name="Berechnung 3 2" xfId="740"/>
    <cellStyle name="Berechnung 3 2 2" xfId="955"/>
    <cellStyle name="Berechnung 3 3" xfId="676"/>
    <cellStyle name="Berechnung 3 3 2" xfId="891"/>
    <cellStyle name="Berechnung 3 4" xfId="688"/>
    <cellStyle name="Berechnung 3 4 2" xfId="903"/>
    <cellStyle name="Berechnung 3 5" xfId="826"/>
    <cellStyle name="Berechnung 4" xfId="673"/>
    <cellStyle name="Berechnung 4 2" xfId="888"/>
    <cellStyle name="Berechnung 5" xfId="790"/>
    <cellStyle name="Berechnung 5 2" xfId="1005"/>
    <cellStyle name="Berechnung 6" xfId="802"/>
    <cellStyle name="Berechnung 6 2" xfId="1016"/>
    <cellStyle name="Berechnung 7" xfId="808"/>
    <cellStyle name="Bold GHG Numbers (0.00)" xfId="3"/>
    <cellStyle name="Calculation 2" xfId="255"/>
    <cellStyle name="Calculation 2 2" xfId="675"/>
    <cellStyle name="Calculation 2 2 2" xfId="890"/>
    <cellStyle name="Calculation 2 3" xfId="759"/>
    <cellStyle name="Calculation 2 3 2" xfId="974"/>
    <cellStyle name="Calculation 2 4" xfId="665"/>
    <cellStyle name="Calculation 2 4 2" xfId="880"/>
    <cellStyle name="Calculation 2 5" xfId="809"/>
    <cellStyle name="Calculation 3" xfId="353"/>
    <cellStyle name="Calculation 3 2" xfId="714"/>
    <cellStyle name="Calculation 3 2 2" xfId="929"/>
    <cellStyle name="Calculation 3 3" xfId="700"/>
    <cellStyle name="Calculation 3 3 2" xfId="915"/>
    <cellStyle name="Calculation 3 4" xfId="784"/>
    <cellStyle name="Calculation 3 4 2" xfId="999"/>
    <cellStyle name="Calculation 3 5" xfId="817"/>
    <cellStyle name="Check Cell 2" xfId="256"/>
    <cellStyle name="Check Cell 3" xfId="354"/>
    <cellStyle name="Check Cell 4" xfId="498"/>
    <cellStyle name="Comma 2" xfId="257"/>
    <cellStyle name="Comma 2 2" xfId="258"/>
    <cellStyle name="Comma 2 2 2" xfId="543"/>
    <cellStyle name="Comma 3" xfId="259"/>
    <cellStyle name="Constants" xfId="139"/>
    <cellStyle name="Constants 2" xfId="1024"/>
    <cellStyle name="ContentsHyperlink" xfId="370"/>
    <cellStyle name="CustomCellsOrange" xfId="260"/>
    <cellStyle name="CustomCellsOrange 2" xfId="544"/>
    <cellStyle name="CustomCellsOrange 2 2" xfId="567"/>
    <cellStyle name="CustomCellsOrange 2 2 2" xfId="637"/>
    <cellStyle name="CustomCellsOrange 2 2 2 2" xfId="803"/>
    <cellStyle name="CustomCellsOrange 2 2 2 2 2" xfId="1017"/>
    <cellStyle name="CustomCellsOrange 2 2 3" xfId="786"/>
    <cellStyle name="CustomCellsOrange 2 2 3 2" xfId="1001"/>
    <cellStyle name="CustomCellsOrange 2 2 4" xfId="704"/>
    <cellStyle name="CustomCellsOrange 2 2 4 2" xfId="919"/>
    <cellStyle name="CustomCellsOrange 2 2 5" xfId="805"/>
    <cellStyle name="CustomCellsOrange 2 2 5 2" xfId="1019"/>
    <cellStyle name="CustomCellsOrange 3" xfId="402"/>
    <cellStyle name="CustomCellsOrange 3 2" xfId="741"/>
    <cellStyle name="CustomCellsOrange 3 2 2" xfId="956"/>
    <cellStyle name="CustomCellsOrange 3 3" xfId="674"/>
    <cellStyle name="CustomCellsOrange 3 3 2" xfId="889"/>
    <cellStyle name="CustomCellsOrange 3 4" xfId="687"/>
    <cellStyle name="CustomCellsOrange 3 4 2" xfId="902"/>
    <cellStyle name="CustomCellsOrange 3 5" xfId="827"/>
    <cellStyle name="CustomizationCells" xfId="151"/>
    <cellStyle name="CustomizationCells 2" xfId="545"/>
    <cellStyle name="CustomizationCells 2 2" xfId="568"/>
    <cellStyle name="CustomizationCells 2 2 2" xfId="638"/>
    <cellStyle name="CustomizationCells 2 2 2 2" xfId="804"/>
    <cellStyle name="CustomizationCells 2 2 2 2 2" xfId="1018"/>
    <cellStyle name="CustomizationCells 2 2 3" xfId="787"/>
    <cellStyle name="CustomizationCells 2 2 3 2" xfId="1002"/>
    <cellStyle name="CustomizationCells 2 2 4" xfId="650"/>
    <cellStyle name="CustomizationCells 2 2 4 2" xfId="865"/>
    <cellStyle name="CustomizationCells 2 2 5" xfId="806"/>
    <cellStyle name="CustomizationCells 2 2 5 2" xfId="1020"/>
    <cellStyle name="CustomizationCells 3" xfId="403"/>
    <cellStyle name="CustomizationCells 3 2" xfId="742"/>
    <cellStyle name="CustomizationCells 3 2 2" xfId="957"/>
    <cellStyle name="CustomizationCells 3 3" xfId="769"/>
    <cellStyle name="CustomizationCells 3 3 2" xfId="984"/>
    <cellStyle name="CustomizationCells 3 4" xfId="689"/>
    <cellStyle name="CustomizationCells 3 4 2" xfId="904"/>
    <cellStyle name="CustomizationCells 3 5" xfId="828"/>
    <cellStyle name="CustomizationCells 4" xfId="179"/>
    <cellStyle name="CustomizationCells 5" xfId="1040"/>
    <cellStyle name="CustomizationGreenCells" xfId="261"/>
    <cellStyle name="CustomizationGreenCells 2" xfId="546"/>
    <cellStyle name="CustomizationGreenCells 3" xfId="404"/>
    <cellStyle name="CustomizationGreenCells 3 2" xfId="743"/>
    <cellStyle name="CustomizationGreenCells 3 2 2" xfId="958"/>
    <cellStyle name="CustomizationGreenCells 3 3" xfId="713"/>
    <cellStyle name="CustomizationGreenCells 3 3 2" xfId="928"/>
    <cellStyle name="CustomizationGreenCells 3 4" xfId="646"/>
    <cellStyle name="CustomizationGreenCells 3 4 2" xfId="861"/>
    <cellStyle name="CustomizationGreenCells 3 5" xfId="829"/>
    <cellStyle name="DocBox_EmptyRow" xfId="148"/>
    <cellStyle name="Eingabe" xfId="262"/>
    <cellStyle name="Eingabe 2" xfId="501"/>
    <cellStyle name="Eingabe 3" xfId="547"/>
    <cellStyle name="Eingabe 3 2" xfId="783"/>
    <cellStyle name="Eingabe 3 2 2" xfId="998"/>
    <cellStyle name="Eingabe 3 3" xfId="772"/>
    <cellStyle name="Eingabe 3 3 2" xfId="987"/>
    <cellStyle name="Eingabe 3 4" xfId="663"/>
    <cellStyle name="Eingabe 3 4 2" xfId="878"/>
    <cellStyle name="Eingabe 3 5" xfId="846"/>
    <cellStyle name="Eingabe 4" xfId="406"/>
    <cellStyle name="Eingabe 4 2" xfId="744"/>
    <cellStyle name="Eingabe 4 2 2" xfId="959"/>
    <cellStyle name="Eingabe 4 3" xfId="671"/>
    <cellStyle name="Eingabe 4 3 2" xfId="886"/>
    <cellStyle name="Eingabe 4 4" xfId="647"/>
    <cellStyle name="Eingabe 4 4 2" xfId="862"/>
    <cellStyle name="Eingabe 4 5" xfId="830"/>
    <cellStyle name="Eingabe 5" xfId="681"/>
    <cellStyle name="Eingabe 5 2" xfId="896"/>
    <cellStyle name="Eingabe 6" xfId="758"/>
    <cellStyle name="Eingabe 6 2" xfId="973"/>
    <cellStyle name="Eingabe 7" xfId="801"/>
    <cellStyle name="Eingabe 7 2" xfId="1015"/>
    <cellStyle name="Eingabe 8" xfId="810"/>
    <cellStyle name="Empty_B_border" xfId="154"/>
    <cellStyle name="Ergebnis" xfId="263"/>
    <cellStyle name="Ergebnis 2" xfId="522"/>
    <cellStyle name="Ergebnis 2 2" xfId="778"/>
    <cellStyle name="Ergebnis 2 2 2" xfId="993"/>
    <cellStyle name="Ergebnis 2 3" xfId="710"/>
    <cellStyle name="Ergebnis 2 3 2" xfId="925"/>
    <cellStyle name="Ergebnis 2 4" xfId="701"/>
    <cellStyle name="Ergebnis 2 4 2" xfId="916"/>
    <cellStyle name="Ergebnis 2 5" xfId="836"/>
    <cellStyle name="Ergebnis 3" xfId="415"/>
    <cellStyle name="Ergebnis 3 2" xfId="752"/>
    <cellStyle name="Ergebnis 3 2 2" xfId="967"/>
    <cellStyle name="Ergebnis 3 3" xfId="666"/>
    <cellStyle name="Ergebnis 3 3 2" xfId="881"/>
    <cellStyle name="Ergebnis 3 4" xfId="693"/>
    <cellStyle name="Ergebnis 3 4 2" xfId="908"/>
    <cellStyle name="Ergebnis 3 5" xfId="832"/>
    <cellStyle name="Ergebnis 4" xfId="682"/>
    <cellStyle name="Ergebnis 4 2" xfId="897"/>
    <cellStyle name="Ergebnis 5" xfId="756"/>
    <cellStyle name="Ergebnis 5 2" xfId="971"/>
    <cellStyle name="Ergebnis 6" xfId="763"/>
    <cellStyle name="Ergebnis 6 2" xfId="978"/>
    <cellStyle name="Ergebnis 7" xfId="811"/>
    <cellStyle name="Erklärender Text" xfId="264"/>
    <cellStyle name="Erklärender Text 2" xfId="523"/>
    <cellStyle name="Erklärender Text 3" xfId="405"/>
    <cellStyle name="Excel Built-in Input" xfId="1043"/>
    <cellStyle name="Explanatory Text 2" xfId="265"/>
    <cellStyle name="Explanatory Text 3" xfId="355"/>
    <cellStyle name="Good 2" xfId="266"/>
    <cellStyle name="Good 3" xfId="356"/>
    <cellStyle name="Good 4" xfId="485"/>
    <cellStyle name="Gut" xfId="267"/>
    <cellStyle name="Heading 1 2" xfId="268"/>
    <cellStyle name="Heading 1 3" xfId="357"/>
    <cellStyle name="Heading 1 4" xfId="493"/>
    <cellStyle name="Heading 2 2" xfId="269"/>
    <cellStyle name="Heading 2 3" xfId="358"/>
    <cellStyle name="Heading 2 4" xfId="494"/>
    <cellStyle name="Heading 3 2" xfId="270"/>
    <cellStyle name="Heading 3 3" xfId="359"/>
    <cellStyle name="Heading 3 4" xfId="495"/>
    <cellStyle name="Heading 4 2" xfId="271"/>
    <cellStyle name="Heading 4 3" xfId="360"/>
    <cellStyle name="Heading 4 4" xfId="496"/>
    <cellStyle name="Headline" xfId="4"/>
    <cellStyle name="Headline 2" xfId="1023"/>
    <cellStyle name="Hyperlink" xfId="1022"/>
    <cellStyle name="Hyperlink 2" xfId="5"/>
    <cellStyle name="Hyperlink 2 2" xfId="6"/>
    <cellStyle name="Input 2" xfId="272"/>
    <cellStyle name="Input 2 2" xfId="685"/>
    <cellStyle name="Input 2 2 2" xfId="900"/>
    <cellStyle name="Input 2 3" xfId="789"/>
    <cellStyle name="Input 2 3 2" xfId="1004"/>
    <cellStyle name="Input 2 4" xfId="800"/>
    <cellStyle name="Input 2 4 2" xfId="1014"/>
    <cellStyle name="Input 2 5" xfId="812"/>
    <cellStyle name="Input 3" xfId="361"/>
    <cellStyle name="Input 3 2" xfId="717"/>
    <cellStyle name="Input 3 2 2" xfId="932"/>
    <cellStyle name="Input 3 3" xfId="716"/>
    <cellStyle name="Input 3 3 2" xfId="931"/>
    <cellStyle name="Input 3 4" xfId="660"/>
    <cellStyle name="Input 3 4 2" xfId="875"/>
    <cellStyle name="Input 3 5" xfId="818"/>
    <cellStyle name="Input 4" xfId="472"/>
    <cellStyle name="InputCells" xfId="145"/>
    <cellStyle name="InputCells 2" xfId="273"/>
    <cellStyle name="InputCells 3" xfId="323"/>
    <cellStyle name="InputCells 4" xfId="475"/>
    <cellStyle name="InputCells 5" xfId="1029"/>
    <cellStyle name="InputCells_Bborder_1" xfId="274"/>
    <cellStyle name="InputCells12" xfId="153"/>
    <cellStyle name="InputCells12 2" xfId="275"/>
    <cellStyle name="InputCells12 2 2" xfId="549"/>
    <cellStyle name="InputCells12 2 2 2" xfId="723"/>
    <cellStyle name="InputCells12 2 2 2 2" xfId="938"/>
    <cellStyle name="InputCells12 2 2 3" xfId="848"/>
    <cellStyle name="InputCells12 2 3" xfId="408"/>
    <cellStyle name="InputCells12 2 3 2" xfId="746"/>
    <cellStyle name="InputCells12 2 3 2 2" xfId="961"/>
    <cellStyle name="InputCells12 2 3 3" xfId="669"/>
    <cellStyle name="InputCells12 2 3 3 2" xfId="884"/>
    <cellStyle name="InputCells12 2 3 4" xfId="785"/>
    <cellStyle name="InputCells12 2 3 4 2" xfId="1000"/>
    <cellStyle name="InputCells12 3" xfId="548"/>
    <cellStyle name="InputCells12 3 2" xfId="653"/>
    <cellStyle name="InputCells12 3 2 2" xfId="868"/>
    <cellStyle name="InputCells12 3 3" xfId="847"/>
    <cellStyle name="InputCells12 4" xfId="407"/>
    <cellStyle name="InputCells12 4 2" xfId="745"/>
    <cellStyle name="InputCells12 4 2 2" xfId="960"/>
    <cellStyle name="InputCells12 4 3" xfId="670"/>
    <cellStyle name="InputCells12 4 3 2" xfId="885"/>
    <cellStyle name="InputCells12 4 4" xfId="644"/>
    <cellStyle name="InputCells12 4 4 2" xfId="859"/>
    <cellStyle name="InputCells12 5" xfId="181"/>
    <cellStyle name="InputCells12 6" xfId="1037"/>
    <cellStyle name="InputCells12_BBorder" xfId="159"/>
    <cellStyle name="IntCells" xfId="276"/>
    <cellStyle name="KP_thin_border_dark_grey" xfId="7"/>
    <cellStyle name="Linked Cell 2" xfId="277"/>
    <cellStyle name="Linked Cell 3" xfId="362"/>
    <cellStyle name="Linked Cell 4" xfId="497"/>
    <cellStyle name="Neutral 2" xfId="278"/>
    <cellStyle name="Neutral 3" xfId="363"/>
    <cellStyle name="Normaali 2" xfId="279"/>
    <cellStyle name="Normaali 2 2" xfId="280"/>
    <cellStyle name="Normal" xfId="0" builtinId="0"/>
    <cellStyle name="Normal 10" xfId="8"/>
    <cellStyle name="Normal 10 2" xfId="569"/>
    <cellStyle name="Normal 10 3" xfId="500"/>
    <cellStyle name="Normal 11" xfId="9"/>
    <cellStyle name="Normal 11 2" xfId="570"/>
    <cellStyle name="Normal 11 3" xfId="528"/>
    <cellStyle name="Normal 12" xfId="639"/>
    <cellStyle name="Normal 12 2" xfId="799"/>
    <cellStyle name="Normal 12 3" xfId="1047"/>
    <cellStyle name="Normal 2" xfId="10"/>
    <cellStyle name="Normál 2" xfId="11"/>
    <cellStyle name="Normal 2 10" xfId="12"/>
    <cellStyle name="Normal 2 11" xfId="13"/>
    <cellStyle name="Normal 2 12" xfId="14"/>
    <cellStyle name="Normal 2 13" xfId="15"/>
    <cellStyle name="Normal 2 14" xfId="16"/>
    <cellStyle name="Normal 2 15" xfId="17"/>
    <cellStyle name="Normal 2 16" xfId="18"/>
    <cellStyle name="Normal 2 17" xfId="19"/>
    <cellStyle name="Normal 2 18" xfId="20"/>
    <cellStyle name="Normal 2 19" xfId="21"/>
    <cellStyle name="Normal 2 2" xfId="22"/>
    <cellStyle name="Normal 2 2 2" xfId="282"/>
    <cellStyle name="Normal 2 2 3" xfId="281"/>
    <cellStyle name="Normal 2 20" xfId="23"/>
    <cellStyle name="Normal 2 21" xfId="24"/>
    <cellStyle name="Normal 2 22" xfId="25"/>
    <cellStyle name="Normal 2 23" xfId="26"/>
    <cellStyle name="Normal 2 24" xfId="27"/>
    <cellStyle name="Normal 2 25" xfId="28"/>
    <cellStyle name="Normal 2 26" xfId="29"/>
    <cellStyle name="Normal 2 27" xfId="30"/>
    <cellStyle name="Normal 2 28" xfId="31"/>
    <cellStyle name="Normal 2 29" xfId="32"/>
    <cellStyle name="Normal 2 3" xfId="33"/>
    <cellStyle name="Normal 2 3 2" xfId="550"/>
    <cellStyle name="Normal 2 3 3" xfId="283"/>
    <cellStyle name="Normal 2 30" xfId="34"/>
    <cellStyle name="Normal 2 31" xfId="35"/>
    <cellStyle name="Normal 2 32" xfId="91"/>
    <cellStyle name="Normal 2 33" xfId="95"/>
    <cellStyle name="Normal 2 34" xfId="94"/>
    <cellStyle name="Normal 2 35" xfId="100"/>
    <cellStyle name="Normal 2 36" xfId="99"/>
    <cellStyle name="Normal 2 37" xfId="104"/>
    <cellStyle name="Normal 2 38" xfId="97"/>
    <cellStyle name="Normal 2 39" xfId="106"/>
    <cellStyle name="Normal 2 4" xfId="36"/>
    <cellStyle name="Normal 2 40" xfId="113"/>
    <cellStyle name="Normal 2 41" xfId="109"/>
    <cellStyle name="Normal 2 42" xfId="108"/>
    <cellStyle name="Normal 2 43" xfId="111"/>
    <cellStyle name="Normal 2 44" xfId="102"/>
    <cellStyle name="Normal 2 45" xfId="115"/>
    <cellStyle name="Normal 2 46" xfId="120"/>
    <cellStyle name="Normal 2 47" xfId="118"/>
    <cellStyle name="Normal 2 48" xfId="124"/>
    <cellStyle name="Normal 2 49" xfId="122"/>
    <cellStyle name="Normal 2 5" xfId="37"/>
    <cellStyle name="Normal 2 50" xfId="128"/>
    <cellStyle name="Normal 2 51" xfId="126"/>
    <cellStyle name="Normal 2 52" xfId="131"/>
    <cellStyle name="Normal 2 53" xfId="135"/>
    <cellStyle name="Normal 2 54" xfId="134"/>
    <cellStyle name="Normal 2 55" xfId="137"/>
    <cellStyle name="Normal 2 56" xfId="1036"/>
    <cellStyle name="Normal 2 57" xfId="1049"/>
    <cellStyle name="Normal 2 58" xfId="1051"/>
    <cellStyle name="Normal 2 59" xfId="1052"/>
    <cellStyle name="Normal 2 6" xfId="38"/>
    <cellStyle name="Normal 2 60" xfId="1050"/>
    <cellStyle name="Normal 2 61" xfId="1053"/>
    <cellStyle name="Normal 2 62" xfId="1054"/>
    <cellStyle name="Normal 2 7" xfId="39"/>
    <cellStyle name="Normal 2 8" xfId="40"/>
    <cellStyle name="Normal 2 9" xfId="41"/>
    <cellStyle name="Normal 3" xfId="42"/>
    <cellStyle name="Normál 3" xfId="43"/>
    <cellStyle name="Normal 3 10" xfId="44"/>
    <cellStyle name="Normal 3 11" xfId="45"/>
    <cellStyle name="Normal 3 12" xfId="46"/>
    <cellStyle name="Normal 3 13" xfId="47"/>
    <cellStyle name="Normal 3 14" xfId="48"/>
    <cellStyle name="Normal 3 15" xfId="49"/>
    <cellStyle name="Normal 3 16" xfId="50"/>
    <cellStyle name="Normal 3 17" xfId="51"/>
    <cellStyle name="Normal 3 18" xfId="52"/>
    <cellStyle name="Normal 3 19" xfId="53"/>
    <cellStyle name="Normal 3 2" xfId="54"/>
    <cellStyle name="Normal 3 2 2" xfId="172"/>
    <cellStyle name="Normal 3 2 3" xfId="284"/>
    <cellStyle name="Normal 3 20" xfId="55"/>
    <cellStyle name="Normal 3 21" xfId="56"/>
    <cellStyle name="Normal 3 22" xfId="57"/>
    <cellStyle name="Normal 3 23" xfId="58"/>
    <cellStyle name="Normal 3 24" xfId="59"/>
    <cellStyle name="Normal 3 25" xfId="60"/>
    <cellStyle name="Normal 3 26" xfId="61"/>
    <cellStyle name="Normal 3 27" xfId="62"/>
    <cellStyle name="Normal 3 28" xfId="63"/>
    <cellStyle name="Normal 3 29" xfId="64"/>
    <cellStyle name="Normal 3 3" xfId="65"/>
    <cellStyle name="Normal 3 3 2" xfId="324"/>
    <cellStyle name="Normal 3 30" xfId="66"/>
    <cellStyle name="Normal 3 31" xfId="67"/>
    <cellStyle name="Normal 3 32" xfId="68"/>
    <cellStyle name="Normal 3 33" xfId="69"/>
    <cellStyle name="Normal 3 34" xfId="92"/>
    <cellStyle name="Normal 3 35" xfId="96"/>
    <cellStyle name="Normal 3 36" xfId="93"/>
    <cellStyle name="Normal 3 37" xfId="101"/>
    <cellStyle name="Normal 3 38" xfId="98"/>
    <cellStyle name="Normal 3 39" xfId="105"/>
    <cellStyle name="Normal 3 4" xfId="70"/>
    <cellStyle name="Normal 3 4 2" xfId="486"/>
    <cellStyle name="Normal 3 40" xfId="103"/>
    <cellStyle name="Normal 3 41" xfId="107"/>
    <cellStyle name="Normal 3 42" xfId="112"/>
    <cellStyle name="Normal 3 43" xfId="110"/>
    <cellStyle name="Normal 3 44" xfId="116"/>
    <cellStyle name="Normal 3 45" xfId="114"/>
    <cellStyle name="Normal 3 46" xfId="119"/>
    <cellStyle name="Normal 3 47" xfId="117"/>
    <cellStyle name="Normal 3 48" xfId="123"/>
    <cellStyle name="Normal 3 49" xfId="121"/>
    <cellStyle name="Normal 3 5" xfId="71"/>
    <cellStyle name="Normal 3 50" xfId="127"/>
    <cellStyle name="Normal 3 51" xfId="125"/>
    <cellStyle name="Normal 3 52" xfId="130"/>
    <cellStyle name="Normal 3 53" xfId="129"/>
    <cellStyle name="Normal 3 54" xfId="132"/>
    <cellStyle name="Normal 3 55" xfId="136"/>
    <cellStyle name="Normal 3 56" xfId="133"/>
    <cellStyle name="Normal 3 57" xfId="138"/>
    <cellStyle name="Normal 3 58" xfId="168"/>
    <cellStyle name="Normal 3 59" xfId="1021"/>
    <cellStyle name="Normal 3 6" xfId="72"/>
    <cellStyle name="Normal 3 7" xfId="73"/>
    <cellStyle name="Normal 3 8" xfId="74"/>
    <cellStyle name="Normal 3 9" xfId="75"/>
    <cellStyle name="Normal 4" xfId="76"/>
    <cellStyle name="Normal 4 2" xfId="77"/>
    <cellStyle name="Normal 4 2 2" xfId="287"/>
    <cellStyle name="Normal 4 2 3" xfId="551"/>
    <cellStyle name="Normal 4 2 4" xfId="286"/>
    <cellStyle name="Normal 4 2 5" xfId="1044"/>
    <cellStyle name="Normal 4 3" xfId="78"/>
    <cellStyle name="Normal 4 3 2" xfId="552"/>
    <cellStyle name="Normal 4 3 3" xfId="325"/>
    <cellStyle name="Normal 4 4" xfId="285"/>
    <cellStyle name="Normal 5" xfId="79"/>
    <cellStyle name="Normal 5 2" xfId="80"/>
    <cellStyle name="Normal 5 2 2" xfId="425"/>
    <cellStyle name="Normal 5 2 2 2" xfId="431"/>
    <cellStyle name="Normal 5 2 2 2 2" xfId="446"/>
    <cellStyle name="Normal 5 2 2 2 2 2" xfId="575"/>
    <cellStyle name="Normal 5 2 2 2 3" xfId="574"/>
    <cellStyle name="Normal 5 2 2 3" xfId="445"/>
    <cellStyle name="Normal 5 2 2 3 2" xfId="576"/>
    <cellStyle name="Normal 5 2 2 4" xfId="573"/>
    <cellStyle name="Normal 5 2 3" xfId="430"/>
    <cellStyle name="Normal 5 2 3 2" xfId="447"/>
    <cellStyle name="Normal 5 2 3 2 2" xfId="578"/>
    <cellStyle name="Normal 5 2 3 3" xfId="577"/>
    <cellStyle name="Normal 5 2 4" xfId="444"/>
    <cellStyle name="Normal 5 2 4 2" xfId="579"/>
    <cellStyle name="Normal 5 2 5" xfId="553"/>
    <cellStyle name="Normal 5 2 5 2" xfId="580"/>
    <cellStyle name="Normal 5 2 6" xfId="572"/>
    <cellStyle name="Normal 5 2 7" xfId="418"/>
    <cellStyle name="Normal 5 3" xfId="422"/>
    <cellStyle name="Normal 5 3 2" xfId="432"/>
    <cellStyle name="Normal 5 3 2 2" xfId="449"/>
    <cellStyle name="Normal 5 3 2 2 2" xfId="583"/>
    <cellStyle name="Normal 5 3 2 3" xfId="582"/>
    <cellStyle name="Normal 5 3 3" xfId="448"/>
    <cellStyle name="Normal 5 3 3 2" xfId="584"/>
    <cellStyle name="Normal 5 3 4" xfId="581"/>
    <cellStyle name="Normal 5 4" xfId="429"/>
    <cellStyle name="Normal 5 4 2" xfId="450"/>
    <cellStyle name="Normal 5 4 2 2" xfId="586"/>
    <cellStyle name="Normal 5 4 3" xfId="585"/>
    <cellStyle name="Normal 5 5" xfId="443"/>
    <cellStyle name="Normal 5 5 2" xfId="587"/>
    <cellStyle name="Normal 5 6" xfId="487"/>
    <cellStyle name="Normal 5 7" xfId="571"/>
    <cellStyle name="Normal 5 8" xfId="409"/>
    <cellStyle name="Normal 6" xfId="81"/>
    <cellStyle name="Normal 6 10" xfId="554"/>
    <cellStyle name="Normal 6 10 2" xfId="589"/>
    <cellStyle name="Normal 6 11" xfId="588"/>
    <cellStyle name="Normal 6 12" xfId="288"/>
    <cellStyle name="Normal 6 13" xfId="1045"/>
    <cellStyle name="Normal 6 2" xfId="419"/>
    <cellStyle name="Normal 6 2 2" xfId="426"/>
    <cellStyle name="Normal 6 2 2 2" xfId="435"/>
    <cellStyle name="Normal 6 2 2 2 2" xfId="454"/>
    <cellStyle name="Normal 6 2 2 2 2 2" xfId="593"/>
    <cellStyle name="Normal 6 2 2 2 3" xfId="592"/>
    <cellStyle name="Normal 6 2 2 3" xfId="453"/>
    <cellStyle name="Normal 6 2 2 3 2" xfId="594"/>
    <cellStyle name="Normal 6 2 2 4" xfId="591"/>
    <cellStyle name="Normal 6 2 2 5" xfId="1048"/>
    <cellStyle name="Normal 6 2 3" xfId="434"/>
    <cellStyle name="Normal 6 2 3 2" xfId="455"/>
    <cellStyle name="Normal 6 2 3 2 2" xfId="596"/>
    <cellStyle name="Normal 6 2 3 3" xfId="595"/>
    <cellStyle name="Normal 6 2 4" xfId="452"/>
    <cellStyle name="Normal 6 2 4 2" xfId="597"/>
    <cellStyle name="Normal 6 2 5" xfId="555"/>
    <cellStyle name="Normal 6 2 5 2" xfId="598"/>
    <cellStyle name="Normal 6 2 6" xfId="590"/>
    <cellStyle name="Normal 6 3" xfId="421"/>
    <cellStyle name="Normal 6 3 2" xfId="428"/>
    <cellStyle name="Normal 6 3 2 2" xfId="437"/>
    <cellStyle name="Normal 6 3 2 2 2" xfId="458"/>
    <cellStyle name="Normal 6 3 2 2 2 2" xfId="602"/>
    <cellStyle name="Normal 6 3 2 2 3" xfId="601"/>
    <cellStyle name="Normal 6 3 2 3" xfId="457"/>
    <cellStyle name="Normal 6 3 2 3 2" xfId="603"/>
    <cellStyle name="Normal 6 3 2 4" xfId="600"/>
    <cellStyle name="Normal 6 3 3" xfId="436"/>
    <cellStyle name="Normal 6 3 3 2" xfId="459"/>
    <cellStyle name="Normal 6 3 3 2 2" xfId="605"/>
    <cellStyle name="Normal 6 3 3 3" xfId="604"/>
    <cellStyle name="Normal 6 3 4" xfId="456"/>
    <cellStyle name="Normal 6 3 4 2" xfId="606"/>
    <cellStyle name="Normal 6 3 5" xfId="599"/>
    <cellStyle name="Normal 6 4" xfId="423"/>
    <cellStyle name="Normal 6 4 2" xfId="438"/>
    <cellStyle name="Normal 6 4 2 2" xfId="461"/>
    <cellStyle name="Normal 6 4 2 2 2" xfId="609"/>
    <cellStyle name="Normal 6 4 2 3" xfId="608"/>
    <cellStyle name="Normal 6 4 3" xfId="460"/>
    <cellStyle name="Normal 6 4 3 2" xfId="610"/>
    <cellStyle name="Normal 6 4 4" xfId="607"/>
    <cellStyle name="Normal 6 5" xfId="433"/>
    <cellStyle name="Normal 6 5 2" xfId="462"/>
    <cellStyle name="Normal 6 5 2 2" xfId="612"/>
    <cellStyle name="Normal 6 5 3" xfId="611"/>
    <cellStyle name="Normal 6 6" xfId="451"/>
    <cellStyle name="Normal 6 6 2" xfId="613"/>
    <cellStyle name="Normal 6 7" xfId="488"/>
    <cellStyle name="Normal 6 7 2" xfId="614"/>
    <cellStyle name="Normal 6 8" xfId="524"/>
    <cellStyle name="Normal 6 8 2" xfId="615"/>
    <cellStyle name="Normal 6 9" xfId="527"/>
    <cellStyle name="Normal 6 9 2" xfId="616"/>
    <cellStyle name="Normal 7" xfId="82"/>
    <cellStyle name="Normal 7 2" xfId="420"/>
    <cellStyle name="Normal 7 2 2" xfId="427"/>
    <cellStyle name="Normal 7 2 2 2" xfId="441"/>
    <cellStyle name="Normal 7 2 2 2 2" xfId="466"/>
    <cellStyle name="Normal 7 2 2 2 2 2" xfId="621"/>
    <cellStyle name="Normal 7 2 2 2 3" xfId="620"/>
    <cellStyle name="Normal 7 2 2 3" xfId="465"/>
    <cellStyle name="Normal 7 2 2 3 2" xfId="622"/>
    <cellStyle name="Normal 7 2 2 4" xfId="619"/>
    <cellStyle name="Normal 7 2 3" xfId="440"/>
    <cellStyle name="Normal 7 2 3 2" xfId="467"/>
    <cellStyle name="Normal 7 2 3 2 2" xfId="624"/>
    <cellStyle name="Normal 7 2 3 3" xfId="623"/>
    <cellStyle name="Normal 7 2 4" xfId="464"/>
    <cellStyle name="Normal 7 2 4 2" xfId="625"/>
    <cellStyle name="Normal 7 2 5" xfId="556"/>
    <cellStyle name="Normal 7 2 5 2" xfId="626"/>
    <cellStyle name="Normal 7 2 6" xfId="618"/>
    <cellStyle name="Normal 7 3" xfId="424"/>
    <cellStyle name="Normal 7 3 2" xfId="442"/>
    <cellStyle name="Normal 7 3 2 2" xfId="469"/>
    <cellStyle name="Normal 7 3 2 2 2" xfId="629"/>
    <cellStyle name="Normal 7 3 2 3" xfId="628"/>
    <cellStyle name="Normal 7 3 3" xfId="468"/>
    <cellStyle name="Normal 7 3 3 2" xfId="630"/>
    <cellStyle name="Normal 7 3 4" xfId="627"/>
    <cellStyle name="Normal 7 4" xfId="439"/>
    <cellStyle name="Normal 7 4 2" xfId="470"/>
    <cellStyle name="Normal 7 4 2 2" xfId="632"/>
    <cellStyle name="Normal 7 4 3" xfId="631"/>
    <cellStyle name="Normal 7 5" xfId="463"/>
    <cellStyle name="Normal 7 5 2" xfId="633"/>
    <cellStyle name="Normal 7 6" xfId="476"/>
    <cellStyle name="Normal 7 7" xfId="617"/>
    <cellStyle name="Normal 7 8" xfId="417"/>
    <cellStyle name="Normal 7 9" xfId="167"/>
    <cellStyle name="Normal 8" xfId="83"/>
    <cellStyle name="Normal 8 2" xfId="558"/>
    <cellStyle name="Normal 8 3" xfId="557"/>
    <cellStyle name="Normal 8 4" xfId="364"/>
    <cellStyle name="Normal 9" xfId="84"/>
    <cellStyle name="Normal 9 2" xfId="634"/>
    <cellStyle name="Normal 9 3" xfId="471"/>
    <cellStyle name="Normal GHG Numbers (0.00)" xfId="85"/>
    <cellStyle name="Normal GHG Numbers (0.00) 2" xfId="290"/>
    <cellStyle name="Normal GHG Numbers (0.00) 3" xfId="169"/>
    <cellStyle name="Normal GHG Numbers (0.00) 3 2" xfId="559"/>
    <cellStyle name="Normal GHG Numbers (0.00) 3 2 2" xfId="708"/>
    <cellStyle name="Normal GHG Numbers (0.00) 3 2 2 2" xfId="923"/>
    <cellStyle name="Normal GHG Numbers (0.00) 3 2 3" xfId="849"/>
    <cellStyle name="Normal GHG Numbers (0.00) 3 3" xfId="489"/>
    <cellStyle name="Normal GHG Numbers (0.00) 3 3 2" xfId="767"/>
    <cellStyle name="Normal GHG Numbers (0.00) 3 3 2 2" xfId="982"/>
    <cellStyle name="Normal GHG Numbers (0.00) 3 3 3" xfId="664"/>
    <cellStyle name="Normal GHG Numbers (0.00) 3 3 3 2" xfId="879"/>
    <cellStyle name="Normal GHG Numbers (0.00) 3 3 4" xfId="797"/>
    <cellStyle name="Normal GHG Numbers (0.00) 3 3 4 2" xfId="1012"/>
    <cellStyle name="Normal GHG Numbers (0.00) 3 4" xfId="291"/>
    <cellStyle name="Normal GHG Numbers (0.00) 4" xfId="289"/>
    <cellStyle name="Normal GHG Textfiels Bold" xfId="86"/>
    <cellStyle name="Normal GHG Textfiels Bold 2" xfId="292"/>
    <cellStyle name="Normal GHG Textfiels Bold 3" xfId="293"/>
    <cellStyle name="Normal GHG Textfiels Bold 3 2" xfId="560"/>
    <cellStyle name="Normal GHG Textfiels Bold 3 2 2" xfId="652"/>
    <cellStyle name="Normal GHG Textfiels Bold 3 2 2 2" xfId="867"/>
    <cellStyle name="Normal GHG Textfiels Bold 3 2 3" xfId="850"/>
    <cellStyle name="Normal GHG Textfiels Bold 3 3" xfId="490"/>
    <cellStyle name="Normal GHG Textfiels Bold 3 3 2" xfId="768"/>
    <cellStyle name="Normal GHG Textfiels Bold 3 3 2 2" xfId="983"/>
    <cellStyle name="Normal GHG Textfiels Bold 3 3 3" xfId="711"/>
    <cellStyle name="Normal GHG Textfiels Bold 3 3 3 2" xfId="926"/>
    <cellStyle name="Normal GHG Textfiels Bold 3 3 4" xfId="686"/>
    <cellStyle name="Normal GHG Textfiels Bold 3 3 4 2" xfId="901"/>
    <cellStyle name="Normal GHG Textfiels Bold 4" xfId="140"/>
    <cellStyle name="Normal GHG Textfiels Bold 5" xfId="1025"/>
    <cellStyle name="Normal GHG whole table" xfId="87"/>
    <cellStyle name="Normal GHG whole table 2" xfId="561"/>
    <cellStyle name="Normal GHG whole table 2 2" xfId="707"/>
    <cellStyle name="Normal GHG whole table 2 2 2" xfId="922"/>
    <cellStyle name="Normal GHG whole table 2 3" xfId="851"/>
    <cellStyle name="Normal GHG whole table 3" xfId="410"/>
    <cellStyle name="Normal GHG whole table 3 2" xfId="747"/>
    <cellStyle name="Normal GHG whole table 3 2 2" xfId="962"/>
    <cellStyle name="Normal GHG whole table 3 3" xfId="668"/>
    <cellStyle name="Normal GHG whole table 3 3 2" xfId="883"/>
    <cellStyle name="Normal GHG whole table 3 4" xfId="755"/>
    <cellStyle name="Normal GHG whole table 3 4 2" xfId="970"/>
    <cellStyle name="Normal GHG whole table 4" xfId="176"/>
    <cellStyle name="Normal GHG whole table 5" xfId="1032"/>
    <cellStyle name="Normal GHG-Shade" xfId="88"/>
    <cellStyle name="Normal GHG-Shade 2" xfId="294"/>
    <cellStyle name="Normal GHG-Shade 2 2" xfId="295"/>
    <cellStyle name="Normal GHG-Shade 2 3" xfId="296"/>
    <cellStyle name="Normal GHG-Shade 2 4" xfId="326"/>
    <cellStyle name="Normal GHG-Shade 2 5" xfId="491"/>
    <cellStyle name="Normal GHG-Shade 3" xfId="297"/>
    <cellStyle name="Normal GHG-Shade 3 2" xfId="298"/>
    <cellStyle name="Normal GHG-Shade 4" xfId="299"/>
    <cellStyle name="Normal GHG-Shade 4 2" xfId="562"/>
    <cellStyle name="Normal GHG-Shade 5" xfId="146"/>
    <cellStyle name="Normal GHG-Shade 6" xfId="1030"/>
    <cellStyle name="Normál_Munka1" xfId="89"/>
    <cellStyle name="Note 2" xfId="300"/>
    <cellStyle name="Note 2 2" xfId="690"/>
    <cellStyle name="Note 2 2 2" xfId="905"/>
    <cellStyle name="Note 2 3" xfId="754"/>
    <cellStyle name="Note 2 3 2" xfId="969"/>
    <cellStyle name="Note 2 4" xfId="649"/>
    <cellStyle name="Note 2 4 2" xfId="864"/>
    <cellStyle name="Note 2 5" xfId="813"/>
    <cellStyle name="Note 3" xfId="365"/>
    <cellStyle name="Note 3 2" xfId="718"/>
    <cellStyle name="Note 3 2 2" xfId="933"/>
    <cellStyle name="Note 3 3" xfId="684"/>
    <cellStyle name="Note 3 3 2" xfId="899"/>
    <cellStyle name="Note 3 4" xfId="702"/>
    <cellStyle name="Note 3 4 2" xfId="917"/>
    <cellStyle name="Note 3 5" xfId="819"/>
    <cellStyle name="Notiz" xfId="301"/>
    <cellStyle name="Notiz 2" xfId="691"/>
    <cellStyle name="Notiz 2 2" xfId="906"/>
    <cellStyle name="Notiz 3" xfId="753"/>
    <cellStyle name="Notiz 3 2" xfId="968"/>
    <cellStyle name="Notiz 4" xfId="722"/>
    <cellStyle name="Notiz 4 2" xfId="937"/>
    <cellStyle name="Notiz 5" xfId="814"/>
    <cellStyle name="Output 2" xfId="302"/>
    <cellStyle name="Output 2 2" xfId="692"/>
    <cellStyle name="Output 2 2 2" xfId="907"/>
    <cellStyle name="Output 2 3" xfId="788"/>
    <cellStyle name="Output 2 3 2" xfId="1003"/>
    <cellStyle name="Output 2 4" xfId="815"/>
    <cellStyle name="Output 3" xfId="366"/>
    <cellStyle name="Output 3 2" xfId="719"/>
    <cellStyle name="Output 3 2 2" xfId="934"/>
    <cellStyle name="Output 3 3" xfId="770"/>
    <cellStyle name="Output 3 3 2" xfId="985"/>
    <cellStyle name="Output 3 4" xfId="820"/>
    <cellStyle name="Pattern" xfId="90"/>
    <cellStyle name="Pattern 2" xfId="563"/>
    <cellStyle name="Pattern 2 2" xfId="706"/>
    <cellStyle name="Pattern 2 2 2" xfId="921"/>
    <cellStyle name="Pattern 2 3" xfId="852"/>
    <cellStyle name="Pattern 3" xfId="412"/>
    <cellStyle name="Pattern 3 2" xfId="749"/>
    <cellStyle name="Pattern 3 2 2" xfId="964"/>
    <cellStyle name="Pattern 3 3" xfId="648"/>
    <cellStyle name="Pattern 3 3 2" xfId="863"/>
    <cellStyle name="Pattern 3 4" xfId="762"/>
    <cellStyle name="Pattern 3 4 2" xfId="977"/>
    <cellStyle name="Percent 2" xfId="303"/>
    <cellStyle name="Percent 2 2" xfId="564"/>
    <cellStyle name="RowLevel_1 2" xfId="186"/>
    <cellStyle name="Schlecht" xfId="304"/>
    <cellStyle name="Shade" xfId="156"/>
    <cellStyle name="Shade 2" xfId="305"/>
    <cellStyle name="Shade 2 2" xfId="566"/>
    <cellStyle name="Shade 2 2 2" xfId="651"/>
    <cellStyle name="Shade 2 2 2 2" xfId="866"/>
    <cellStyle name="Shade 2 2 3" xfId="854"/>
    <cellStyle name="Shade 2 3" xfId="414"/>
    <cellStyle name="Shade 2 3 2" xfId="751"/>
    <cellStyle name="Shade 2 3 2 2" xfId="966"/>
    <cellStyle name="Shade 2 3 3" xfId="780"/>
    <cellStyle name="Shade 2 3 3 2" xfId="995"/>
    <cellStyle name="Shade 2 3 4" xfId="694"/>
    <cellStyle name="Shade 2 3 4 2" xfId="909"/>
    <cellStyle name="Shade 3" xfId="565"/>
    <cellStyle name="Shade 3 2" xfId="705"/>
    <cellStyle name="Shade 3 2 2" xfId="920"/>
    <cellStyle name="Shade 3 3" xfId="853"/>
    <cellStyle name="Shade 4" xfId="413"/>
    <cellStyle name="Shade 4 2" xfId="174"/>
    <cellStyle name="Shade 4 2 2" xfId="750"/>
    <cellStyle name="Shade 4 2 3" xfId="965"/>
    <cellStyle name="Shade 4 3" xfId="779"/>
    <cellStyle name="Shade 4 3 2" xfId="994"/>
    <cellStyle name="Shade 4 4" xfId="641"/>
    <cellStyle name="Shade 4 4 2" xfId="856"/>
    <cellStyle name="Shade 5" xfId="183"/>
    <cellStyle name="Shade 6" xfId="1039"/>
    <cellStyle name="Shade_B_border2" xfId="306"/>
    <cellStyle name="Standard 2" xfId="173"/>
    <cellStyle name="Standard 2 2" xfId="526"/>
    <cellStyle name="Standard 2 2 2" xfId="636"/>
    <cellStyle name="Standard 2 3" xfId="635"/>
    <cellStyle name="Title 2" xfId="307"/>
    <cellStyle name="Title 3" xfId="367"/>
    <cellStyle name="Total 2" xfId="308"/>
    <cellStyle name="Total 2 2" xfId="696"/>
    <cellStyle name="Total 2 2 2" xfId="911"/>
    <cellStyle name="Total 2 3" xfId="757"/>
    <cellStyle name="Total 2 3 2" xfId="972"/>
    <cellStyle name="Total 2 4" xfId="645"/>
    <cellStyle name="Total 2 4 2" xfId="860"/>
    <cellStyle name="Total 2 5" xfId="816"/>
    <cellStyle name="Total 3" xfId="368"/>
    <cellStyle name="Total 3 2" xfId="720"/>
    <cellStyle name="Total 3 2 2" xfId="935"/>
    <cellStyle name="Total 3 3" xfId="683"/>
    <cellStyle name="Total 3 3 2" xfId="898"/>
    <cellStyle name="Total 3 4" xfId="724"/>
    <cellStyle name="Total 3 4 2" xfId="939"/>
    <cellStyle name="Total 3 5" xfId="821"/>
    <cellStyle name="Überschrift" xfId="309"/>
    <cellStyle name="Überschrift 1" xfId="310"/>
    <cellStyle name="Überschrift 2" xfId="311"/>
    <cellStyle name="Überschrift 3" xfId="312"/>
    <cellStyle name="Überschrift 4" xfId="313"/>
    <cellStyle name="Verknüpfte Zelle" xfId="314"/>
    <cellStyle name="Warnender Text" xfId="315"/>
    <cellStyle name="Warnender Text 2" xfId="525"/>
    <cellStyle name="Warnender Text 3" xfId="416"/>
    <cellStyle name="Warning Text 2" xfId="316"/>
    <cellStyle name="Warning Text 3" xfId="369"/>
    <cellStyle name="Zelle überprüfen" xfId="317"/>
    <cellStyle name="Гиперссылка" xfId="318"/>
    <cellStyle name="Гиперссылка 2" xfId="319"/>
    <cellStyle name="Гиперссылка 3" xfId="327"/>
    <cellStyle name="Гиперссылка 4" xfId="499"/>
    <cellStyle name="Обычный_2++" xfId="164"/>
  </cellStyles>
  <dxfs count="2">
    <dxf>
      <fill>
        <patternFill>
          <bgColor indexed="8"/>
        </patternFill>
      </fill>
    </dxf>
    <dxf>
      <fill>
        <patternFill>
          <bgColor indexed="8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L24"/>
  <sheetViews>
    <sheetView tabSelected="1" workbookViewId="0">
      <selection activeCell="B11" sqref="B11:X11"/>
    </sheetView>
  </sheetViews>
  <sheetFormatPr defaultRowHeight="15" x14ac:dyDescent="0.25"/>
  <cols>
    <col min="1" max="1" width="14.42578125" customWidth="1"/>
    <col min="2" max="2" width="28.85546875" customWidth="1"/>
    <col min="21" max="21" width="9.7109375" customWidth="1"/>
    <col min="26" max="26" width="10" customWidth="1"/>
    <col min="27" max="27" width="12.42578125" customWidth="1"/>
    <col min="28" max="28" width="12.5703125" customWidth="1"/>
    <col min="29" max="29" width="10.140625" bestFit="1" customWidth="1"/>
    <col min="30" max="31" width="10.140625" customWidth="1"/>
    <col min="32" max="36" width="12" customWidth="1"/>
    <col min="37" max="37" width="15.28515625" customWidth="1"/>
    <col min="38" max="38" width="45" customWidth="1"/>
  </cols>
  <sheetData>
    <row r="1" spans="1:38" x14ac:dyDescent="0.25">
      <c r="B1" s="37" t="s">
        <v>11</v>
      </c>
      <c r="C1" s="37">
        <v>1989</v>
      </c>
      <c r="D1" s="37">
        <v>1990</v>
      </c>
      <c r="E1" s="37">
        <v>1991</v>
      </c>
      <c r="F1" s="37">
        <v>1992</v>
      </c>
      <c r="G1" s="37">
        <v>1993</v>
      </c>
      <c r="H1" s="37">
        <v>1994</v>
      </c>
      <c r="I1" s="37">
        <v>1995</v>
      </c>
      <c r="J1" s="37">
        <v>1996</v>
      </c>
      <c r="K1" s="37">
        <v>1997</v>
      </c>
      <c r="L1" s="37">
        <v>1998</v>
      </c>
      <c r="M1" s="37">
        <v>1999</v>
      </c>
      <c r="N1" s="37">
        <v>2000</v>
      </c>
      <c r="O1" s="37">
        <v>2001</v>
      </c>
      <c r="P1" s="37">
        <v>2002</v>
      </c>
      <c r="Q1" s="37">
        <v>2003</v>
      </c>
      <c r="R1" s="37">
        <v>2004</v>
      </c>
      <c r="S1" s="37">
        <v>2005</v>
      </c>
      <c r="T1" s="37">
        <v>2006</v>
      </c>
      <c r="U1" s="37">
        <v>2007</v>
      </c>
      <c r="V1" s="37">
        <v>2008</v>
      </c>
      <c r="W1" s="37">
        <v>2009</v>
      </c>
      <c r="X1" s="51">
        <v>2010</v>
      </c>
      <c r="Y1" s="37">
        <v>2011</v>
      </c>
      <c r="Z1" s="118">
        <v>2012</v>
      </c>
      <c r="AA1" s="37">
        <v>2013</v>
      </c>
      <c r="AB1" s="37">
        <v>2014</v>
      </c>
      <c r="AC1" s="37">
        <v>2015</v>
      </c>
      <c r="AD1" s="37">
        <v>2016</v>
      </c>
      <c r="AE1" s="37">
        <v>2017</v>
      </c>
      <c r="AF1" s="37">
        <v>2018</v>
      </c>
      <c r="AG1" s="37">
        <v>2019</v>
      </c>
      <c r="AH1" s="37">
        <v>2020</v>
      </c>
      <c r="AI1" s="37">
        <v>2021</v>
      </c>
      <c r="AJ1" s="37">
        <v>2022</v>
      </c>
      <c r="AK1" s="37">
        <v>2023</v>
      </c>
    </row>
    <row r="2" spans="1:38" x14ac:dyDescent="0.25">
      <c r="A2" s="424" t="s">
        <v>38</v>
      </c>
      <c r="B2" s="52" t="s">
        <v>39</v>
      </c>
      <c r="C2" s="379">
        <v>778000</v>
      </c>
      <c r="D2" s="379">
        <v>765400</v>
      </c>
      <c r="E2" s="379">
        <v>275000</v>
      </c>
      <c r="F2" s="379">
        <v>362000</v>
      </c>
      <c r="G2" s="379">
        <v>411000</v>
      </c>
      <c r="H2" s="379">
        <v>227600</v>
      </c>
      <c r="I2" s="379">
        <v>233000</v>
      </c>
      <c r="J2" s="379">
        <v>266000</v>
      </c>
      <c r="K2" s="379">
        <v>220000</v>
      </c>
      <c r="L2" s="379">
        <v>268000</v>
      </c>
      <c r="M2" s="379">
        <v>182000</v>
      </c>
      <c r="N2" s="377">
        <v>239279</v>
      </c>
      <c r="O2" s="377">
        <v>268469</v>
      </c>
      <c r="P2" s="380">
        <v>239071</v>
      </c>
      <c r="Q2" s="380">
        <v>252139</v>
      </c>
      <c r="R2" s="380">
        <v>270131</v>
      </c>
      <c r="S2" s="380">
        <v>299195</v>
      </c>
      <c r="T2" s="380">
        <v>252201</v>
      </c>
      <c r="U2" s="380">
        <v>265487</v>
      </c>
      <c r="V2" s="380">
        <v>279886</v>
      </c>
      <c r="W2" s="380">
        <v>296055</v>
      </c>
      <c r="X2" s="379">
        <v>305757</v>
      </c>
      <c r="Y2" s="377">
        <v>313333</v>
      </c>
      <c r="Z2" s="378">
        <v>289963</v>
      </c>
      <c r="AA2" s="377">
        <v>344468</v>
      </c>
      <c r="AB2" s="377">
        <v>303562</v>
      </c>
      <c r="AC2" s="377">
        <v>357352</v>
      </c>
      <c r="AD2" s="377">
        <v>344311</v>
      </c>
      <c r="AE2" s="377">
        <v>344311</v>
      </c>
      <c r="AF2" s="377">
        <v>344311</v>
      </c>
      <c r="AG2" s="21">
        <v>344311</v>
      </c>
      <c r="AH2" s="21">
        <v>468891</v>
      </c>
      <c r="AI2" s="53"/>
      <c r="AJ2" s="53"/>
      <c r="AK2" s="53"/>
      <c r="AL2" t="s">
        <v>39</v>
      </c>
    </row>
    <row r="3" spans="1:38" x14ac:dyDescent="0.25">
      <c r="A3" s="424"/>
      <c r="B3" s="52" t="s">
        <v>40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376">
        <v>296055</v>
      </c>
      <c r="X3" s="376">
        <v>305757</v>
      </c>
      <c r="Y3" s="377">
        <v>313333</v>
      </c>
      <c r="Z3" s="378">
        <v>289963</v>
      </c>
      <c r="AA3" s="377">
        <v>344468</v>
      </c>
      <c r="AB3" s="377">
        <v>303562</v>
      </c>
      <c r="AC3" s="377">
        <v>357352</v>
      </c>
      <c r="AD3" s="377">
        <v>344311</v>
      </c>
      <c r="AE3" s="377">
        <v>381342</v>
      </c>
      <c r="AF3" s="377">
        <v>468639</v>
      </c>
      <c r="AG3" s="377">
        <v>455964</v>
      </c>
      <c r="AH3" s="377">
        <v>468891</v>
      </c>
      <c r="AI3" s="377">
        <v>510002</v>
      </c>
      <c r="AJ3" s="377">
        <v>459017</v>
      </c>
      <c r="AK3" s="377">
        <v>463657</v>
      </c>
      <c r="AL3" t="s">
        <v>40</v>
      </c>
    </row>
    <row r="4" spans="1:38" ht="30" x14ac:dyDescent="0.25">
      <c r="A4" s="424"/>
      <c r="B4" s="52" t="s">
        <v>41</v>
      </c>
      <c r="C4" s="55">
        <v>665300</v>
      </c>
      <c r="D4" s="55">
        <v>656094</v>
      </c>
      <c r="E4" s="55">
        <v>274936</v>
      </c>
      <c r="F4" s="55">
        <v>257759</v>
      </c>
      <c r="G4" s="55">
        <v>345647</v>
      </c>
      <c r="H4" s="56">
        <v>313035</v>
      </c>
      <c r="I4" s="56">
        <v>305877</v>
      </c>
      <c r="J4" s="56">
        <v>267835</v>
      </c>
      <c r="K4" s="56">
        <v>262141</v>
      </c>
      <c r="L4" s="56">
        <v>253732</v>
      </c>
      <c r="M4" s="56">
        <v>225186</v>
      </c>
      <c r="N4" s="56">
        <v>239279</v>
      </c>
      <c r="O4" s="56">
        <v>268469</v>
      </c>
      <c r="P4" s="56">
        <v>239071</v>
      </c>
      <c r="Q4" s="56">
        <v>252139</v>
      </c>
      <c r="R4" s="56">
        <v>270131</v>
      </c>
      <c r="S4" s="56">
        <v>299195</v>
      </c>
      <c r="T4" s="56">
        <v>252201</v>
      </c>
      <c r="U4" s="56">
        <v>265487</v>
      </c>
      <c r="V4" s="56">
        <v>279886</v>
      </c>
      <c r="W4" s="56">
        <v>296055</v>
      </c>
      <c r="X4" s="56">
        <v>305757</v>
      </c>
      <c r="Y4" s="57">
        <v>313333</v>
      </c>
      <c r="Z4" s="119">
        <v>289963</v>
      </c>
      <c r="AA4" s="57">
        <v>344000</v>
      </c>
      <c r="AB4" s="187">
        <v>303000</v>
      </c>
      <c r="AC4" s="57">
        <v>357000</v>
      </c>
      <c r="AD4" s="57">
        <v>344311</v>
      </c>
      <c r="AE4" s="57">
        <v>381342</v>
      </c>
      <c r="AF4" s="375">
        <v>468639</v>
      </c>
      <c r="AG4" s="375">
        <v>455964</v>
      </c>
      <c r="AH4" s="375">
        <v>468891</v>
      </c>
      <c r="AI4" s="375">
        <v>538610</v>
      </c>
      <c r="AJ4" s="375">
        <v>459017</v>
      </c>
      <c r="AK4" s="375">
        <v>463657</v>
      </c>
      <c r="AL4" t="s">
        <v>41</v>
      </c>
    </row>
    <row r="5" spans="1:38" x14ac:dyDescent="0.25">
      <c r="A5" s="424"/>
      <c r="B5" s="58" t="s">
        <v>42</v>
      </c>
      <c r="C5" s="125">
        <f t="shared" ref="C5:P5" si="0">C2-C4</f>
        <v>112700</v>
      </c>
      <c r="D5" s="125">
        <f t="shared" si="0"/>
        <v>109306</v>
      </c>
      <c r="E5" s="125">
        <f t="shared" si="0"/>
        <v>64</v>
      </c>
      <c r="F5" s="125">
        <f t="shared" si="0"/>
        <v>104241</v>
      </c>
      <c r="G5" s="125">
        <f t="shared" si="0"/>
        <v>65353</v>
      </c>
      <c r="H5" s="125">
        <f t="shared" si="0"/>
        <v>-85435</v>
      </c>
      <c r="I5" s="125">
        <f t="shared" si="0"/>
        <v>-72877</v>
      </c>
      <c r="J5" s="125">
        <f t="shared" si="0"/>
        <v>-1835</v>
      </c>
      <c r="K5" s="125">
        <f t="shared" si="0"/>
        <v>-42141</v>
      </c>
      <c r="L5" s="125">
        <f t="shared" si="0"/>
        <v>14268</v>
      </c>
      <c r="M5" s="125">
        <f t="shared" si="0"/>
        <v>-43186</v>
      </c>
      <c r="N5" s="125">
        <f t="shared" si="0"/>
        <v>0</v>
      </c>
      <c r="O5" s="125">
        <f t="shared" si="0"/>
        <v>0</v>
      </c>
      <c r="P5" s="59">
        <f t="shared" si="0"/>
        <v>0</v>
      </c>
      <c r="Q5" s="59">
        <f t="shared" ref="Q5:X5" si="1">Q2-Q4</f>
        <v>0</v>
      </c>
      <c r="R5" s="59">
        <f t="shared" si="1"/>
        <v>0</v>
      </c>
      <c r="S5" s="59">
        <f t="shared" si="1"/>
        <v>0</v>
      </c>
      <c r="T5" s="59">
        <f t="shared" si="1"/>
        <v>0</v>
      </c>
      <c r="U5" s="59">
        <f t="shared" si="1"/>
        <v>0</v>
      </c>
      <c r="V5" s="59">
        <f t="shared" si="1"/>
        <v>0</v>
      </c>
      <c r="W5" s="59">
        <f t="shared" si="1"/>
        <v>0</v>
      </c>
      <c r="X5" s="59">
        <f t="shared" si="1"/>
        <v>0</v>
      </c>
      <c r="Y5" s="59">
        <f t="shared" ref="Y5:AK5" si="2">Y2-Y4</f>
        <v>0</v>
      </c>
      <c r="Z5" s="59">
        <f t="shared" si="2"/>
        <v>0</v>
      </c>
      <c r="AA5" s="59">
        <f t="shared" si="2"/>
        <v>468</v>
      </c>
      <c r="AB5" s="59">
        <f t="shared" si="2"/>
        <v>562</v>
      </c>
      <c r="AC5" s="59">
        <f t="shared" si="2"/>
        <v>352</v>
      </c>
      <c r="AD5" s="59">
        <f t="shared" si="2"/>
        <v>0</v>
      </c>
      <c r="AE5" s="59">
        <f t="shared" si="2"/>
        <v>-37031</v>
      </c>
      <c r="AF5" s="59">
        <f t="shared" si="2"/>
        <v>-124328</v>
      </c>
      <c r="AG5" s="59">
        <f t="shared" si="2"/>
        <v>-111653</v>
      </c>
      <c r="AH5" s="59">
        <f t="shared" si="2"/>
        <v>0</v>
      </c>
      <c r="AI5" s="59">
        <f t="shared" si="2"/>
        <v>-538610</v>
      </c>
      <c r="AJ5" s="59">
        <f t="shared" si="2"/>
        <v>-459017</v>
      </c>
      <c r="AK5" s="59">
        <f t="shared" si="2"/>
        <v>-463657</v>
      </c>
      <c r="AL5" t="s">
        <v>42</v>
      </c>
    </row>
    <row r="6" spans="1:38" x14ac:dyDescent="0.25">
      <c r="A6" s="424"/>
      <c r="B6" s="58" t="s">
        <v>43</v>
      </c>
      <c r="C6" s="126">
        <f>C4-C3</f>
        <v>665300</v>
      </c>
      <c r="D6" s="126">
        <f t="shared" ref="D6:AK6" si="3">D4-D3</f>
        <v>656094</v>
      </c>
      <c r="E6" s="126">
        <f t="shared" si="3"/>
        <v>274936</v>
      </c>
      <c r="F6" s="126">
        <f t="shared" si="3"/>
        <v>257759</v>
      </c>
      <c r="G6" s="126">
        <f t="shared" si="3"/>
        <v>345647</v>
      </c>
      <c r="H6" s="126">
        <f t="shared" si="3"/>
        <v>313035</v>
      </c>
      <c r="I6" s="126">
        <f t="shared" si="3"/>
        <v>305877</v>
      </c>
      <c r="J6" s="126">
        <f t="shared" si="3"/>
        <v>267835</v>
      </c>
      <c r="K6" s="126">
        <f t="shared" si="3"/>
        <v>262141</v>
      </c>
      <c r="L6" s="126">
        <f t="shared" si="3"/>
        <v>253732</v>
      </c>
      <c r="M6" s="126">
        <f t="shared" si="3"/>
        <v>225186</v>
      </c>
      <c r="N6" s="126">
        <f t="shared" si="3"/>
        <v>239279</v>
      </c>
      <c r="O6" s="126">
        <f t="shared" si="3"/>
        <v>268469</v>
      </c>
      <c r="P6" s="126">
        <f t="shared" si="3"/>
        <v>239071</v>
      </c>
      <c r="Q6" s="126">
        <f t="shared" si="3"/>
        <v>252139</v>
      </c>
      <c r="R6" s="126">
        <f t="shared" si="3"/>
        <v>270131</v>
      </c>
      <c r="S6" s="126">
        <f t="shared" si="3"/>
        <v>299195</v>
      </c>
      <c r="T6" s="126">
        <f t="shared" si="3"/>
        <v>252201</v>
      </c>
      <c r="U6" s="126">
        <f t="shared" si="3"/>
        <v>265487</v>
      </c>
      <c r="V6" s="126">
        <f t="shared" si="3"/>
        <v>279886</v>
      </c>
      <c r="W6" s="126">
        <f t="shared" si="3"/>
        <v>0</v>
      </c>
      <c r="X6" s="126">
        <f t="shared" si="3"/>
        <v>0</v>
      </c>
      <c r="Y6" s="126">
        <f t="shared" si="3"/>
        <v>0</v>
      </c>
      <c r="Z6" s="126">
        <f t="shared" si="3"/>
        <v>0</v>
      </c>
      <c r="AA6" s="126">
        <f t="shared" si="3"/>
        <v>-468</v>
      </c>
      <c r="AB6" s="126">
        <f t="shared" si="3"/>
        <v>-562</v>
      </c>
      <c r="AC6" s="126">
        <f t="shared" si="3"/>
        <v>-352</v>
      </c>
      <c r="AD6" s="126">
        <f t="shared" si="3"/>
        <v>0</v>
      </c>
      <c r="AE6" s="126">
        <f t="shared" si="3"/>
        <v>0</v>
      </c>
      <c r="AF6" s="126">
        <f t="shared" si="3"/>
        <v>0</v>
      </c>
      <c r="AG6" s="126">
        <f t="shared" si="3"/>
        <v>0</v>
      </c>
      <c r="AH6" s="126">
        <f t="shared" si="3"/>
        <v>0</v>
      </c>
      <c r="AI6" s="126">
        <f t="shared" si="3"/>
        <v>28608</v>
      </c>
      <c r="AJ6" s="126">
        <f t="shared" si="3"/>
        <v>0</v>
      </c>
      <c r="AK6" s="126">
        <f t="shared" si="3"/>
        <v>0</v>
      </c>
      <c r="AL6" t="s">
        <v>43</v>
      </c>
    </row>
    <row r="8" spans="1:38" x14ac:dyDescent="0.25">
      <c r="A8" s="36" t="s">
        <v>44</v>
      </c>
    </row>
    <row r="10" spans="1:38" ht="44.25" customHeight="1" x14ac:dyDescent="0.25">
      <c r="A10" s="36" t="s">
        <v>98</v>
      </c>
      <c r="B10" s="425" t="s">
        <v>103</v>
      </c>
      <c r="C10" s="426"/>
      <c r="D10" s="426"/>
      <c r="E10" s="426"/>
      <c r="F10" s="426"/>
      <c r="G10" s="426"/>
      <c r="H10" s="426"/>
      <c r="I10" s="426"/>
      <c r="J10" s="426"/>
      <c r="K10" s="426"/>
      <c r="L10" s="426"/>
      <c r="M10" s="426"/>
      <c r="N10" s="426"/>
      <c r="O10" s="426"/>
      <c r="P10" s="426"/>
      <c r="Q10" s="426"/>
      <c r="R10" s="426"/>
      <c r="S10" s="426"/>
      <c r="T10" s="426"/>
      <c r="U10" s="426"/>
      <c r="V10" s="426"/>
      <c r="W10" s="426"/>
      <c r="X10" s="426"/>
    </row>
    <row r="11" spans="1:38" ht="39.75" customHeight="1" x14ac:dyDescent="0.25">
      <c r="A11" s="24" t="s">
        <v>99</v>
      </c>
      <c r="B11" s="425" t="s">
        <v>87</v>
      </c>
      <c r="C11" s="425"/>
      <c r="D11" s="425"/>
      <c r="E11" s="425"/>
      <c r="F11" s="425"/>
      <c r="G11" s="425"/>
      <c r="H11" s="425"/>
      <c r="I11" s="425"/>
      <c r="J11" s="425"/>
      <c r="K11" s="425"/>
      <c r="L11" s="425"/>
      <c r="M11" s="425"/>
      <c r="N11" s="425"/>
      <c r="O11" s="425"/>
      <c r="P11" s="425"/>
      <c r="Q11" s="425"/>
      <c r="R11" s="425"/>
      <c r="S11" s="425"/>
      <c r="T11" s="425"/>
      <c r="U11" s="425"/>
      <c r="V11" s="425"/>
      <c r="W11" s="425"/>
      <c r="X11" s="425"/>
    </row>
    <row r="14" spans="1:38" ht="23.25" customHeight="1" x14ac:dyDescent="0.25">
      <c r="B14" s="427"/>
      <c r="C14" s="428"/>
      <c r="D14" s="428"/>
      <c r="E14" s="428"/>
      <c r="F14" s="428"/>
      <c r="G14" s="428"/>
      <c r="H14" s="428"/>
      <c r="I14" s="428"/>
      <c r="J14" s="428"/>
      <c r="K14" s="428"/>
      <c r="L14" s="428"/>
      <c r="M14" s="428"/>
      <c r="N14" s="428"/>
      <c r="O14" s="428"/>
      <c r="P14" s="428"/>
      <c r="Q14" s="428"/>
      <c r="R14" s="428"/>
      <c r="S14" s="428"/>
      <c r="T14" s="428"/>
      <c r="U14" s="428"/>
      <c r="V14" s="428"/>
      <c r="W14" s="428"/>
    </row>
    <row r="15" spans="1:38" ht="23.25" customHeight="1" x14ac:dyDescent="0.25">
      <c r="V15" s="113"/>
    </row>
    <row r="16" spans="1:38" ht="31.5" customHeight="1" x14ac:dyDescent="0.25"/>
    <row r="17" spans="4:38" ht="25.5" customHeight="1" x14ac:dyDescent="0.25"/>
    <row r="18" spans="4:38" ht="24.75" customHeight="1" x14ac:dyDescent="0.25"/>
    <row r="20" spans="4:38" ht="27.75" customHeight="1" x14ac:dyDescent="0.25"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</row>
    <row r="23" spans="4:38" x14ac:dyDescent="0.25"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</row>
    <row r="24" spans="4:38" x14ac:dyDescent="0.25">
      <c r="D24" s="20"/>
      <c r="E24" s="16"/>
      <c r="F24" s="20"/>
      <c r="G24" s="16"/>
      <c r="H24" s="20"/>
      <c r="I24" s="16"/>
      <c r="J24" s="20"/>
      <c r="K24" s="16"/>
      <c r="L24" s="20"/>
      <c r="M24" s="16"/>
      <c r="N24" s="20"/>
      <c r="O24" s="16"/>
      <c r="P24" s="20"/>
      <c r="Q24" s="16"/>
      <c r="R24" s="20"/>
      <c r="S24" s="16"/>
      <c r="T24" s="17"/>
    </row>
  </sheetData>
  <mergeCells count="4">
    <mergeCell ref="A2:A6"/>
    <mergeCell ref="B10:X10"/>
    <mergeCell ref="B11:X11"/>
    <mergeCell ref="B14:W14"/>
  </mergeCells>
  <conditionalFormatting sqref="AB4">
    <cfRule type="cellIs" dxfId="1" priority="2" stopIfTrue="1" operator="equal">
      <formula>"X"</formula>
    </cfRule>
  </conditionalFormatting>
  <conditionalFormatting sqref="AF4:AK4">
    <cfRule type="cellIs" dxfId="0" priority="1" stopIfTrue="1" operator="equal">
      <formula>"X"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L176"/>
  <sheetViews>
    <sheetView topLeftCell="A157" workbookViewId="0">
      <selection activeCell="C172" sqref="C172:U172"/>
    </sheetView>
  </sheetViews>
  <sheetFormatPr defaultRowHeight="15" x14ac:dyDescent="0.25"/>
  <cols>
    <col min="1" max="1" width="17.7109375" style="30" customWidth="1"/>
    <col min="2" max="2" width="42.28515625" style="30" customWidth="1"/>
    <col min="3" max="3" width="13.7109375" style="30" customWidth="1"/>
    <col min="4" max="4" width="13" style="30" customWidth="1"/>
    <col min="5" max="5" width="13.7109375" style="30" customWidth="1"/>
    <col min="6" max="6" width="14.42578125" style="30" customWidth="1"/>
    <col min="7" max="7" width="13.140625" style="30" customWidth="1"/>
    <col min="8" max="8" width="13.5703125" style="30" customWidth="1"/>
    <col min="9" max="9" width="13.28515625" style="30" customWidth="1"/>
    <col min="10" max="11" width="13.5703125" style="30" customWidth="1"/>
    <col min="12" max="12" width="12.85546875" style="30" customWidth="1"/>
    <col min="13" max="13" width="12.7109375" style="30" customWidth="1"/>
    <col min="14" max="14" width="14.140625" style="30" customWidth="1"/>
    <col min="15" max="15" width="13.28515625" style="30" customWidth="1"/>
    <col min="16" max="16" width="13" style="30" customWidth="1"/>
    <col min="17" max="17" width="13.5703125" style="30" customWidth="1"/>
    <col min="18" max="18" width="14" style="30" customWidth="1"/>
    <col min="19" max="19" width="13.85546875" style="30" customWidth="1"/>
    <col min="20" max="20" width="14" style="30" customWidth="1"/>
    <col min="21" max="21" width="12.42578125" style="30" customWidth="1"/>
    <col min="22" max="22" width="12.85546875" style="30" customWidth="1"/>
    <col min="23" max="23" width="14" style="30" customWidth="1"/>
    <col min="24" max="24" width="14.5703125" style="30" customWidth="1"/>
    <col min="25" max="25" width="15.5703125" style="30" customWidth="1"/>
    <col min="26" max="26" width="19.5703125" style="100" customWidth="1"/>
    <col min="27" max="37" width="15.5703125" style="100" customWidth="1"/>
    <col min="38" max="38" width="16.85546875" style="30" customWidth="1"/>
    <col min="39" max="39" width="36.140625" style="30" customWidth="1"/>
  </cols>
  <sheetData>
    <row r="1" spans="1:64" x14ac:dyDescent="0.25">
      <c r="C1" s="137"/>
      <c r="D1" s="138"/>
      <c r="E1" s="137"/>
      <c r="F1" s="138"/>
      <c r="G1" s="137"/>
      <c r="H1" s="138"/>
      <c r="I1" s="137"/>
      <c r="J1" s="138"/>
      <c r="K1" s="137"/>
      <c r="L1" s="138"/>
      <c r="M1" s="137"/>
      <c r="N1" s="138"/>
      <c r="O1" s="137"/>
      <c r="P1" s="138"/>
      <c r="Q1" t="s">
        <v>74</v>
      </c>
      <c r="R1" s="138"/>
      <c r="S1" s="137"/>
      <c r="T1" s="138"/>
      <c r="U1" s="137"/>
      <c r="V1" s="138"/>
      <c r="W1" s="137"/>
      <c r="X1" s="139"/>
      <c r="Y1"/>
      <c r="Z1" s="138"/>
      <c r="AA1" s="137"/>
      <c r="AB1" s="137"/>
      <c r="AC1" s="137"/>
      <c r="AD1" s="137"/>
      <c r="AE1" s="137"/>
      <c r="AF1" s="137"/>
      <c r="AG1" s="137"/>
      <c r="AH1" s="137"/>
      <c r="AI1" s="137"/>
      <c r="AJ1" s="137"/>
      <c r="AK1" s="137"/>
      <c r="AL1" s="138"/>
      <c r="AM1" s="137"/>
      <c r="AN1" s="138"/>
      <c r="AO1" s="137"/>
      <c r="AP1" s="138"/>
      <c r="AQ1" s="137"/>
      <c r="AR1" s="138"/>
      <c r="AS1" s="137"/>
      <c r="AT1" s="138"/>
      <c r="AU1" s="137"/>
      <c r="AV1" s="138"/>
      <c r="AW1" s="137"/>
      <c r="AX1" s="138"/>
      <c r="AY1" s="137"/>
      <c r="AZ1" s="138"/>
      <c r="BA1" s="137"/>
      <c r="BB1" s="138"/>
      <c r="BC1" s="137"/>
      <c r="BD1" s="138"/>
      <c r="BE1" s="137"/>
      <c r="BF1" s="138"/>
      <c r="BG1" s="137"/>
      <c r="BH1" s="138"/>
      <c r="BI1" s="137"/>
    </row>
    <row r="2" spans="1:64" x14ac:dyDescent="0.25">
      <c r="A2" s="431" t="s">
        <v>76</v>
      </c>
      <c r="B2" s="96" t="s">
        <v>11</v>
      </c>
      <c r="C2" s="95">
        <v>1989</v>
      </c>
      <c r="D2" s="95">
        <v>1990</v>
      </c>
      <c r="E2" s="95">
        <v>1991</v>
      </c>
      <c r="F2" s="95">
        <v>1992</v>
      </c>
      <c r="G2" s="95">
        <v>1993</v>
      </c>
      <c r="H2" s="95">
        <v>1994</v>
      </c>
      <c r="I2" s="95">
        <v>1995</v>
      </c>
      <c r="J2" s="95">
        <v>1996</v>
      </c>
      <c r="K2" s="95">
        <v>1997</v>
      </c>
      <c r="L2" s="95">
        <v>1998</v>
      </c>
      <c r="M2" s="95">
        <v>1999</v>
      </c>
      <c r="N2" s="95">
        <v>2000</v>
      </c>
      <c r="O2" s="95">
        <v>2001</v>
      </c>
      <c r="P2" s="95">
        <v>2002</v>
      </c>
      <c r="Q2" s="95">
        <v>2003</v>
      </c>
      <c r="R2" s="95">
        <v>2004</v>
      </c>
      <c r="S2" s="95">
        <v>2005</v>
      </c>
      <c r="T2" s="95">
        <v>2006</v>
      </c>
      <c r="U2" s="95">
        <v>2007</v>
      </c>
      <c r="V2" s="95">
        <v>2008</v>
      </c>
      <c r="W2" s="95">
        <v>2009</v>
      </c>
      <c r="X2" s="95">
        <v>2010</v>
      </c>
      <c r="Y2" s="95">
        <v>2011</v>
      </c>
      <c r="Z2" s="114">
        <v>2012</v>
      </c>
      <c r="AA2" s="114">
        <v>2013</v>
      </c>
      <c r="AB2" s="114">
        <v>2014</v>
      </c>
      <c r="AC2" s="114">
        <v>2015</v>
      </c>
      <c r="AD2" s="114">
        <v>2016</v>
      </c>
      <c r="AE2" s="114">
        <v>2017</v>
      </c>
      <c r="AF2" s="114">
        <v>2018</v>
      </c>
      <c r="AG2" s="114">
        <v>2019</v>
      </c>
      <c r="AH2" s="114">
        <v>2020</v>
      </c>
      <c r="AI2" s="114">
        <v>2021</v>
      </c>
      <c r="AJ2" s="114">
        <v>2022</v>
      </c>
      <c r="AK2" s="114">
        <v>2023</v>
      </c>
      <c r="AL2" s="431" t="s">
        <v>76</v>
      </c>
      <c r="AM2" s="96" t="s">
        <v>11</v>
      </c>
    </row>
    <row r="3" spans="1:64" ht="18.75" customHeight="1" x14ac:dyDescent="0.25">
      <c r="A3" s="432"/>
      <c r="B3" s="97" t="s">
        <v>1</v>
      </c>
      <c r="C3" s="38">
        <v>18379030</v>
      </c>
      <c r="D3" s="38">
        <v>17173554</v>
      </c>
      <c r="E3" s="38">
        <v>19306608</v>
      </c>
      <c r="F3" s="38">
        <v>12288367</v>
      </c>
      <c r="G3" s="38">
        <v>15493080</v>
      </c>
      <c r="H3" s="38">
        <v>18183857</v>
      </c>
      <c r="I3" s="38">
        <v>19882767</v>
      </c>
      <c r="J3" s="38">
        <v>14199749</v>
      </c>
      <c r="K3" s="38">
        <v>22107219</v>
      </c>
      <c r="L3" s="38">
        <v>15453218</v>
      </c>
      <c r="M3" s="38">
        <v>17037451</v>
      </c>
      <c r="N3" s="38">
        <v>10499028</v>
      </c>
      <c r="O3" s="38">
        <v>18899740</v>
      </c>
      <c r="P3" s="38">
        <v>14357206</v>
      </c>
      <c r="Q3" s="38">
        <v>12966442</v>
      </c>
      <c r="R3" s="38">
        <v>24401707</v>
      </c>
      <c r="S3" s="38">
        <v>19350464</v>
      </c>
      <c r="T3" s="38">
        <v>15759724</v>
      </c>
      <c r="U3" s="38">
        <v>7815744</v>
      </c>
      <c r="V3" s="38">
        <v>16827165</v>
      </c>
      <c r="W3" s="38">
        <v>14873802</v>
      </c>
      <c r="X3" s="38">
        <v>16713783</v>
      </c>
      <c r="Y3" s="61">
        <v>20848453</v>
      </c>
      <c r="Z3" s="127">
        <v>12831307</v>
      </c>
      <c r="AA3" s="127">
        <v>20945878</v>
      </c>
      <c r="AB3" s="165">
        <v>22076036</v>
      </c>
      <c r="AC3" s="188"/>
      <c r="AD3" s="188"/>
      <c r="AE3" s="188"/>
      <c r="AF3" s="188"/>
      <c r="AG3" s="188"/>
      <c r="AH3" s="188"/>
      <c r="AI3" s="188"/>
      <c r="AJ3" s="188"/>
      <c r="AK3" s="188"/>
      <c r="AL3" s="433"/>
      <c r="AM3" s="97" t="s">
        <v>1</v>
      </c>
    </row>
    <row r="4" spans="1:64" ht="15" customHeight="1" x14ac:dyDescent="0.25">
      <c r="A4" s="432"/>
      <c r="B4" s="97" t="s">
        <v>2</v>
      </c>
      <c r="C4" s="78"/>
      <c r="D4" s="39">
        <v>17172200</v>
      </c>
      <c r="E4" s="39">
        <v>19302500</v>
      </c>
      <c r="F4" s="39">
        <v>12285000</v>
      </c>
      <c r="G4" s="39">
        <v>15490300</v>
      </c>
      <c r="H4" s="39">
        <v>18182400</v>
      </c>
      <c r="I4" s="39">
        <v>19881600</v>
      </c>
      <c r="J4" s="39">
        <v>14197400</v>
      </c>
      <c r="K4" s="39">
        <v>22110000</v>
      </c>
      <c r="L4" s="39">
        <v>15451600</v>
      </c>
      <c r="M4" s="39">
        <v>17037300</v>
      </c>
      <c r="N4" s="39">
        <v>10473900</v>
      </c>
      <c r="O4" s="39">
        <v>18869400</v>
      </c>
      <c r="P4" s="39">
        <v>14355900</v>
      </c>
      <c r="Q4" s="39">
        <v>12964200</v>
      </c>
      <c r="R4" s="39">
        <v>24398000</v>
      </c>
      <c r="S4" s="39">
        <v>19331200</v>
      </c>
      <c r="T4" s="39">
        <v>15740900</v>
      </c>
      <c r="U4" s="39">
        <v>7788600</v>
      </c>
      <c r="V4" s="39">
        <v>16777500</v>
      </c>
      <c r="W4" s="39">
        <v>14800500</v>
      </c>
      <c r="X4" s="39">
        <v>16689800</v>
      </c>
      <c r="Y4" s="49">
        <v>20926300</v>
      </c>
      <c r="Z4" s="140" t="s">
        <v>73</v>
      </c>
      <c r="AA4" s="165">
        <v>20842400</v>
      </c>
      <c r="AB4" s="139">
        <f>22070.74*1000</f>
        <v>22070740</v>
      </c>
      <c r="AC4" s="165">
        <f>19332.82*1000</f>
        <v>19332820</v>
      </c>
      <c r="AD4" s="165">
        <f>21764.82*1000</f>
        <v>21764820</v>
      </c>
      <c r="AE4" s="165">
        <f>27138.88*1000</f>
        <v>27138880</v>
      </c>
      <c r="AF4" s="165">
        <v>31553280</v>
      </c>
      <c r="AG4" s="165">
        <v>30412423</v>
      </c>
      <c r="AH4" s="165">
        <v>19374050</v>
      </c>
      <c r="AI4" s="165">
        <v>27791260</v>
      </c>
      <c r="AJ4" s="165">
        <v>18860680</v>
      </c>
      <c r="AK4" s="165">
        <v>20784660</v>
      </c>
      <c r="AL4" s="433"/>
      <c r="AM4" s="97" t="s">
        <v>2</v>
      </c>
    </row>
    <row r="5" spans="1:64" ht="20.25" customHeight="1" x14ac:dyDescent="0.25">
      <c r="A5" s="432"/>
      <c r="B5" s="97" t="s">
        <v>92</v>
      </c>
      <c r="C5" s="40">
        <v>18379300</v>
      </c>
      <c r="D5" s="41">
        <v>17173539</v>
      </c>
      <c r="E5" s="41">
        <v>19306621</v>
      </c>
      <c r="F5" s="41">
        <v>12288452</v>
      </c>
      <c r="G5" s="41">
        <v>15493074</v>
      </c>
      <c r="H5" s="42">
        <v>18183777</v>
      </c>
      <c r="I5" s="42">
        <v>19882827</v>
      </c>
      <c r="J5" s="42">
        <v>14199688</v>
      </c>
      <c r="K5" s="42">
        <v>22107300</v>
      </c>
      <c r="L5" s="42">
        <v>15452719</v>
      </c>
      <c r="M5" s="42">
        <v>17037346</v>
      </c>
      <c r="N5" s="42">
        <v>10477506</v>
      </c>
      <c r="O5" s="42">
        <v>18870926</v>
      </c>
      <c r="P5" s="42">
        <v>14356504</v>
      </c>
      <c r="Q5" s="42">
        <v>12964404</v>
      </c>
      <c r="R5" s="42">
        <v>24403005</v>
      </c>
      <c r="S5" s="42">
        <v>19345464</v>
      </c>
      <c r="T5" s="42">
        <v>15759324</v>
      </c>
      <c r="U5" s="42">
        <v>7814825</v>
      </c>
      <c r="V5" s="42">
        <v>16826441</v>
      </c>
      <c r="W5" s="42">
        <v>14872952</v>
      </c>
      <c r="X5" s="42">
        <v>16712883</v>
      </c>
      <c r="Y5" s="49">
        <v>20842160</v>
      </c>
      <c r="Z5" s="128">
        <v>12824138</v>
      </c>
      <c r="AA5" s="128">
        <v>20897100</v>
      </c>
      <c r="AB5" s="128">
        <v>22070700</v>
      </c>
      <c r="AC5" s="128">
        <v>19286200</v>
      </c>
      <c r="AD5" s="128">
        <v>21764816</v>
      </c>
      <c r="AE5" s="128">
        <v>27138884</v>
      </c>
      <c r="AF5" s="128">
        <v>31553279</v>
      </c>
      <c r="AG5" s="128">
        <v>30412426</v>
      </c>
      <c r="AH5" s="128">
        <v>19374048</v>
      </c>
      <c r="AI5" s="128">
        <v>27791258</v>
      </c>
      <c r="AJ5" s="128">
        <v>18860670</v>
      </c>
      <c r="AK5" s="128">
        <v>20784656</v>
      </c>
      <c r="AL5" s="433"/>
      <c r="AM5" s="97" t="s">
        <v>92</v>
      </c>
    </row>
    <row r="6" spans="1:64" ht="20.25" customHeight="1" x14ac:dyDescent="0.25">
      <c r="A6" s="432"/>
      <c r="B6" s="98" t="s">
        <v>93</v>
      </c>
      <c r="C6" s="43">
        <f>C3-C5</f>
        <v>-270</v>
      </c>
      <c r="D6" s="43">
        <f>D3-D5</f>
        <v>15</v>
      </c>
      <c r="E6" s="43">
        <f>E3-E5</f>
        <v>-13</v>
      </c>
      <c r="F6" s="43">
        <f t="shared" ref="F6:Y6" si="0">F3-F5</f>
        <v>-85</v>
      </c>
      <c r="G6" s="43">
        <f t="shared" si="0"/>
        <v>6</v>
      </c>
      <c r="H6" s="43">
        <f t="shared" si="0"/>
        <v>80</v>
      </c>
      <c r="I6" s="43">
        <f t="shared" si="0"/>
        <v>-60</v>
      </c>
      <c r="J6" s="43">
        <f t="shared" si="0"/>
        <v>61</v>
      </c>
      <c r="K6" s="43">
        <f t="shared" si="0"/>
        <v>-81</v>
      </c>
      <c r="L6" s="43">
        <f t="shared" si="0"/>
        <v>499</v>
      </c>
      <c r="M6" s="43">
        <f t="shared" si="0"/>
        <v>105</v>
      </c>
      <c r="N6" s="43">
        <f t="shared" si="0"/>
        <v>21522</v>
      </c>
      <c r="O6" s="43">
        <f t="shared" si="0"/>
        <v>28814</v>
      </c>
      <c r="P6" s="43">
        <f t="shared" si="0"/>
        <v>702</v>
      </c>
      <c r="Q6" s="43">
        <f t="shared" si="0"/>
        <v>2038</v>
      </c>
      <c r="R6" s="43">
        <f t="shared" si="0"/>
        <v>-1298</v>
      </c>
      <c r="S6" s="43">
        <f t="shared" si="0"/>
        <v>5000</v>
      </c>
      <c r="T6" s="43">
        <f t="shared" si="0"/>
        <v>400</v>
      </c>
      <c r="U6" s="43">
        <f t="shared" si="0"/>
        <v>919</v>
      </c>
      <c r="V6" s="43">
        <f t="shared" si="0"/>
        <v>724</v>
      </c>
      <c r="W6" s="43">
        <f t="shared" si="0"/>
        <v>850</v>
      </c>
      <c r="X6" s="43">
        <f t="shared" si="0"/>
        <v>900</v>
      </c>
      <c r="Y6" s="43">
        <f t="shared" si="0"/>
        <v>6293</v>
      </c>
      <c r="Z6" s="129">
        <f t="shared" ref="Z6:AK6" si="1">Z3-Z5</f>
        <v>7169</v>
      </c>
      <c r="AA6" s="129">
        <f t="shared" si="1"/>
        <v>48778</v>
      </c>
      <c r="AB6" s="129">
        <f t="shared" si="1"/>
        <v>5336</v>
      </c>
      <c r="AC6" s="129">
        <f t="shared" si="1"/>
        <v>-19286200</v>
      </c>
      <c r="AD6" s="129">
        <f t="shared" si="1"/>
        <v>-21764816</v>
      </c>
      <c r="AE6" s="129">
        <f t="shared" si="1"/>
        <v>-27138884</v>
      </c>
      <c r="AF6" s="129">
        <f t="shared" si="1"/>
        <v>-31553279</v>
      </c>
      <c r="AG6" s="129">
        <f t="shared" si="1"/>
        <v>-30412426</v>
      </c>
      <c r="AH6" s="129">
        <f t="shared" si="1"/>
        <v>-19374048</v>
      </c>
      <c r="AI6" s="129">
        <f t="shared" si="1"/>
        <v>-27791258</v>
      </c>
      <c r="AJ6" s="129">
        <f t="shared" si="1"/>
        <v>-18860670</v>
      </c>
      <c r="AK6" s="129">
        <f t="shared" si="1"/>
        <v>-20784656</v>
      </c>
      <c r="AL6" s="433"/>
      <c r="AM6" s="98" t="s">
        <v>93</v>
      </c>
    </row>
    <row r="7" spans="1:64" ht="13.5" customHeight="1" x14ac:dyDescent="0.25">
      <c r="A7" s="432"/>
      <c r="B7" s="98" t="s">
        <v>94</v>
      </c>
      <c r="C7" s="44">
        <f>C4-C5</f>
        <v>-18379300</v>
      </c>
      <c r="D7" s="44">
        <f t="shared" ref="D7:AK7" si="2">D4-D5</f>
        <v>-1339</v>
      </c>
      <c r="E7" s="44">
        <f t="shared" si="2"/>
        <v>-4121</v>
      </c>
      <c r="F7" s="44">
        <f t="shared" si="2"/>
        <v>-3452</v>
      </c>
      <c r="G7" s="44">
        <f t="shared" si="2"/>
        <v>-2774</v>
      </c>
      <c r="H7" s="44">
        <f t="shared" si="2"/>
        <v>-1377</v>
      </c>
      <c r="I7" s="44">
        <f t="shared" si="2"/>
        <v>-1227</v>
      </c>
      <c r="J7" s="44">
        <f t="shared" si="2"/>
        <v>-2288</v>
      </c>
      <c r="K7" s="44">
        <f t="shared" si="2"/>
        <v>2700</v>
      </c>
      <c r="L7" s="44">
        <f t="shared" si="2"/>
        <v>-1119</v>
      </c>
      <c r="M7" s="44">
        <f t="shared" si="2"/>
        <v>-46</v>
      </c>
      <c r="N7" s="44">
        <f t="shared" si="2"/>
        <v>-3606</v>
      </c>
      <c r="O7" s="44">
        <f t="shared" si="2"/>
        <v>-1526</v>
      </c>
      <c r="P7" s="44">
        <f t="shared" si="2"/>
        <v>-604</v>
      </c>
      <c r="Q7" s="44">
        <f t="shared" si="2"/>
        <v>-204</v>
      </c>
      <c r="R7" s="44">
        <f t="shared" si="2"/>
        <v>-5005</v>
      </c>
      <c r="S7" s="44">
        <f t="shared" si="2"/>
        <v>-14264</v>
      </c>
      <c r="T7" s="44">
        <f t="shared" si="2"/>
        <v>-18424</v>
      </c>
      <c r="U7" s="44">
        <f t="shared" si="2"/>
        <v>-26225</v>
      </c>
      <c r="V7" s="44">
        <f t="shared" si="2"/>
        <v>-48941</v>
      </c>
      <c r="W7" s="44">
        <f t="shared" si="2"/>
        <v>-72452</v>
      </c>
      <c r="X7" s="44">
        <f t="shared" si="2"/>
        <v>-23083</v>
      </c>
      <c r="Y7" s="44">
        <f t="shared" si="2"/>
        <v>84140</v>
      </c>
      <c r="Z7" s="44" t="e">
        <f t="shared" si="2"/>
        <v>#VALUE!</v>
      </c>
      <c r="AA7" s="44">
        <f t="shared" si="2"/>
        <v>-54700</v>
      </c>
      <c r="AB7" s="48">
        <f t="shared" si="2"/>
        <v>40</v>
      </c>
      <c r="AC7" s="48">
        <f t="shared" si="2"/>
        <v>46620</v>
      </c>
      <c r="AD7" s="48">
        <f t="shared" si="2"/>
        <v>4</v>
      </c>
      <c r="AE7" s="48">
        <f t="shared" si="2"/>
        <v>-4</v>
      </c>
      <c r="AF7" s="48">
        <f t="shared" si="2"/>
        <v>1</v>
      </c>
      <c r="AG7" s="48">
        <f t="shared" si="2"/>
        <v>-3</v>
      </c>
      <c r="AH7" s="48">
        <f t="shared" si="2"/>
        <v>2</v>
      </c>
      <c r="AI7" s="48">
        <f t="shared" si="2"/>
        <v>2</v>
      </c>
      <c r="AJ7" s="48">
        <f t="shared" si="2"/>
        <v>10</v>
      </c>
      <c r="AK7" s="48">
        <f t="shared" si="2"/>
        <v>4</v>
      </c>
      <c r="AL7" s="433"/>
      <c r="AM7" s="98" t="s">
        <v>94</v>
      </c>
    </row>
    <row r="8" spans="1:64" x14ac:dyDescent="0.25">
      <c r="A8" s="156"/>
      <c r="B8" s="99"/>
      <c r="C8" s="137"/>
      <c r="D8" s="138"/>
      <c r="E8" s="137"/>
      <c r="F8" s="138"/>
      <c r="G8" s="137"/>
      <c r="H8" s="138"/>
      <c r="I8" s="137"/>
      <c r="J8" s="138"/>
      <c r="K8" s="137"/>
      <c r="L8" s="138"/>
      <c r="M8" s="137"/>
      <c r="N8" s="147">
        <f>(N5*100)/N4-100</f>
        <v>3.4428436399053908E-2</v>
      </c>
      <c r="O8" s="148">
        <f>(O5*100)/O4-100</f>
        <v>8.0871675834970347E-3</v>
      </c>
      <c r="P8" s="138"/>
      <c r="Q8" s="137"/>
      <c r="R8" s="138"/>
      <c r="S8" s="137"/>
      <c r="T8" s="138"/>
      <c r="U8" s="137"/>
      <c r="V8" s="138"/>
      <c r="W8" s="137"/>
      <c r="X8" s="138"/>
      <c r="Y8" s="137"/>
      <c r="Z8" s="138"/>
      <c r="AA8" s="137"/>
      <c r="AB8" s="137"/>
      <c r="AC8" s="133"/>
      <c r="AD8" s="133"/>
      <c r="AE8" s="133"/>
      <c r="AF8" s="133"/>
      <c r="AG8" s="133"/>
      <c r="AH8" s="408">
        <f>(AH5*100)/AH4-100</f>
        <v>-1.0323086812036308E-5</v>
      </c>
      <c r="AI8" s="408">
        <f>(AI5*100)/AI4-100</f>
        <v>-7.1965070986834689E-6</v>
      </c>
      <c r="AJ8" s="408">
        <f>(AJ5*100)/AJ4-100</f>
        <v>-5.30203576971644E-5</v>
      </c>
      <c r="AK8" s="408">
        <f>(AK5*100)/AK4-100</f>
        <v>-1.9244962388142994E-5</v>
      </c>
      <c r="AL8" s="149"/>
      <c r="AM8" s="135"/>
      <c r="AN8" s="134"/>
      <c r="AO8" s="135"/>
      <c r="AP8" s="134"/>
      <c r="AQ8" s="135"/>
      <c r="AR8" s="134"/>
      <c r="AS8" s="135"/>
      <c r="AT8" s="134"/>
      <c r="AU8" s="135"/>
      <c r="AV8" s="134"/>
      <c r="AW8" s="135"/>
      <c r="AX8" s="134"/>
      <c r="AY8" s="135"/>
      <c r="AZ8" s="134"/>
      <c r="BA8" s="135"/>
      <c r="BB8" s="134"/>
      <c r="BC8" s="135"/>
      <c r="BD8" s="134"/>
      <c r="BE8" s="135"/>
      <c r="BF8" s="134"/>
      <c r="BG8" s="135"/>
      <c r="BH8" s="134"/>
      <c r="BI8" s="136"/>
      <c r="BJ8" s="21"/>
    </row>
    <row r="9" spans="1:64" x14ac:dyDescent="0.25">
      <c r="A9" s="429" t="s">
        <v>12</v>
      </c>
      <c r="B9" s="97" t="s">
        <v>1</v>
      </c>
      <c r="C9" s="38">
        <v>95000</v>
      </c>
      <c r="D9" s="38">
        <v>89678</v>
      </c>
      <c r="E9" s="38">
        <v>85753</v>
      </c>
      <c r="F9" s="38">
        <v>21232</v>
      </c>
      <c r="G9" s="38">
        <v>40409</v>
      </c>
      <c r="H9" s="38">
        <v>51201</v>
      </c>
      <c r="I9" s="38">
        <v>42728</v>
      </c>
      <c r="J9" s="38">
        <v>20240</v>
      </c>
      <c r="K9" s="38">
        <v>29413</v>
      </c>
      <c r="L9" s="38">
        <v>26088</v>
      </c>
      <c r="M9" s="38">
        <v>21092</v>
      </c>
      <c r="N9" s="38">
        <v>21800</v>
      </c>
      <c r="O9" s="38">
        <v>28631</v>
      </c>
      <c r="P9" s="38">
        <v>20080</v>
      </c>
      <c r="Q9" s="38">
        <v>17358</v>
      </c>
      <c r="R9" s="38">
        <v>55000</v>
      </c>
      <c r="S9" s="38">
        <v>48962</v>
      </c>
      <c r="T9" s="38">
        <v>35720</v>
      </c>
      <c r="U9" s="38">
        <v>20583</v>
      </c>
      <c r="V9" s="38">
        <v>31446</v>
      </c>
      <c r="W9" s="38">
        <v>32959</v>
      </c>
      <c r="X9" s="38">
        <v>34281</v>
      </c>
      <c r="Y9" s="120">
        <v>31382</v>
      </c>
      <c r="Z9" s="146">
        <v>18236</v>
      </c>
      <c r="AA9" s="146">
        <v>23812</v>
      </c>
      <c r="AB9" s="196">
        <v>24362</v>
      </c>
      <c r="AC9" s="362">
        <v>24319</v>
      </c>
      <c r="AD9" s="196">
        <v>25931</v>
      </c>
      <c r="AE9" s="196">
        <v>28160</v>
      </c>
      <c r="AF9" s="196">
        <v>28640</v>
      </c>
      <c r="AG9" s="196">
        <v>26180</v>
      </c>
      <c r="AH9" s="398"/>
      <c r="AI9" s="398"/>
      <c r="AJ9" s="398"/>
      <c r="AK9" s="398"/>
      <c r="AL9" s="430" t="s">
        <v>12</v>
      </c>
      <c r="AM9" s="97" t="s">
        <v>1</v>
      </c>
    </row>
    <row r="10" spans="1:64" x14ac:dyDescent="0.25">
      <c r="A10" s="429"/>
      <c r="B10" s="97" t="s">
        <v>2</v>
      </c>
      <c r="C10" s="47"/>
      <c r="D10" s="46">
        <v>89700</v>
      </c>
      <c r="E10" s="46">
        <v>85700</v>
      </c>
      <c r="F10" s="46">
        <v>21200</v>
      </c>
      <c r="G10" s="46">
        <v>40400</v>
      </c>
      <c r="H10" s="46">
        <v>51200</v>
      </c>
      <c r="I10" s="46">
        <v>42700</v>
      </c>
      <c r="J10" s="46">
        <v>20300</v>
      </c>
      <c r="K10" s="46">
        <v>29300</v>
      </c>
      <c r="L10" s="46">
        <v>26100</v>
      </c>
      <c r="M10" s="46">
        <v>21100</v>
      </c>
      <c r="N10" s="47"/>
      <c r="O10" s="47"/>
      <c r="P10" s="47"/>
      <c r="Q10" s="47"/>
      <c r="R10" s="47"/>
      <c r="S10" s="47"/>
      <c r="T10" s="47"/>
      <c r="U10" s="46">
        <f>20.58*1000</f>
        <v>20580</v>
      </c>
      <c r="V10" s="46">
        <f>31.45*1000</f>
        <v>31450</v>
      </c>
      <c r="W10" s="46">
        <f>32.96*1000</f>
        <v>32960</v>
      </c>
      <c r="X10" s="46">
        <f>34.28*1000</f>
        <v>34280</v>
      </c>
      <c r="Y10" s="369">
        <f>31.38*1000</f>
        <v>31380</v>
      </c>
      <c r="Z10" s="196">
        <f>18.24*1000</f>
        <v>18240</v>
      </c>
      <c r="AA10" s="196">
        <f>23.81*1000</f>
        <v>23810</v>
      </c>
      <c r="AB10" s="196">
        <f>24.36*1000</f>
        <v>24360</v>
      </c>
      <c r="AC10" s="196">
        <f>24.35*1000</f>
        <v>24350</v>
      </c>
      <c r="AD10" s="196">
        <f>25.93*1000</f>
        <v>25930</v>
      </c>
      <c r="AE10" s="196">
        <f>28.16*1000</f>
        <v>28160</v>
      </c>
      <c r="AF10" s="196">
        <v>28640</v>
      </c>
      <c r="AG10" s="196">
        <v>26180</v>
      </c>
      <c r="AH10" s="196">
        <v>28490</v>
      </c>
      <c r="AI10" s="196">
        <v>35100</v>
      </c>
      <c r="AJ10" s="196">
        <v>34850</v>
      </c>
      <c r="AK10" s="398"/>
      <c r="AL10" s="430"/>
      <c r="AM10" s="97" t="s">
        <v>2</v>
      </c>
    </row>
    <row r="11" spans="1:64" x14ac:dyDescent="0.25">
      <c r="A11" s="429"/>
      <c r="B11" s="97" t="s">
        <v>92</v>
      </c>
      <c r="C11" s="40">
        <v>89678</v>
      </c>
      <c r="D11" s="41">
        <v>89678</v>
      </c>
      <c r="E11" s="41">
        <v>85753</v>
      </c>
      <c r="F11" s="41">
        <v>21232</v>
      </c>
      <c r="G11" s="41">
        <v>40409</v>
      </c>
      <c r="H11" s="42">
        <v>51201</v>
      </c>
      <c r="I11" s="42">
        <v>42728</v>
      </c>
      <c r="J11" s="42">
        <v>20240</v>
      </c>
      <c r="K11" s="42">
        <v>29413</v>
      </c>
      <c r="L11" s="42">
        <v>26088</v>
      </c>
      <c r="M11" s="42">
        <v>21092</v>
      </c>
      <c r="N11" s="42">
        <v>21802</v>
      </c>
      <c r="O11" s="42">
        <v>28631</v>
      </c>
      <c r="P11" s="42">
        <v>20079</v>
      </c>
      <c r="Q11" s="42">
        <v>17358</v>
      </c>
      <c r="R11" s="42">
        <v>55000</v>
      </c>
      <c r="S11" s="42">
        <v>48962</v>
      </c>
      <c r="T11" s="42">
        <v>35720</v>
      </c>
      <c r="U11" s="42">
        <v>20583</v>
      </c>
      <c r="V11" s="42">
        <v>31446</v>
      </c>
      <c r="W11" s="42">
        <v>32959</v>
      </c>
      <c r="X11" s="42">
        <v>34281</v>
      </c>
      <c r="Y11" s="115">
        <v>31382</v>
      </c>
      <c r="Z11" s="146">
        <v>18236</v>
      </c>
      <c r="AA11" s="146">
        <v>23812</v>
      </c>
      <c r="AB11" s="146">
        <v>24400</v>
      </c>
      <c r="AC11" s="146">
        <v>24300</v>
      </c>
      <c r="AD11" s="146">
        <v>25931</v>
      </c>
      <c r="AE11" s="146">
        <v>28158</v>
      </c>
      <c r="AF11" s="146">
        <v>28636</v>
      </c>
      <c r="AG11" s="146">
        <v>26182</v>
      </c>
      <c r="AH11" s="146">
        <v>28487</v>
      </c>
      <c r="AI11" s="146">
        <v>35101</v>
      </c>
      <c r="AJ11" s="146">
        <v>34900</v>
      </c>
      <c r="AK11" s="146">
        <v>29589</v>
      </c>
      <c r="AL11" s="430"/>
      <c r="AM11" s="97" t="s">
        <v>92</v>
      </c>
    </row>
    <row r="12" spans="1:64" ht="18" customHeight="1" x14ac:dyDescent="0.25">
      <c r="A12" s="429"/>
      <c r="B12" s="98" t="s">
        <v>93</v>
      </c>
      <c r="C12" s="48">
        <f>C9-C11</f>
        <v>5322</v>
      </c>
      <c r="D12" s="48">
        <f t="shared" ref="D12:Y12" si="3">D9-D11</f>
        <v>0</v>
      </c>
      <c r="E12" s="48">
        <f t="shared" si="3"/>
        <v>0</v>
      </c>
      <c r="F12" s="48">
        <f t="shared" si="3"/>
        <v>0</v>
      </c>
      <c r="G12" s="48">
        <f t="shared" si="3"/>
        <v>0</v>
      </c>
      <c r="H12" s="48">
        <f t="shared" si="3"/>
        <v>0</v>
      </c>
      <c r="I12" s="48">
        <f t="shared" si="3"/>
        <v>0</v>
      </c>
      <c r="J12" s="48">
        <f t="shared" si="3"/>
        <v>0</v>
      </c>
      <c r="K12" s="48">
        <f t="shared" si="3"/>
        <v>0</v>
      </c>
      <c r="L12" s="48">
        <f t="shared" si="3"/>
        <v>0</v>
      </c>
      <c r="M12" s="48">
        <f t="shared" si="3"/>
        <v>0</v>
      </c>
      <c r="N12" s="48">
        <f t="shared" si="3"/>
        <v>-2</v>
      </c>
      <c r="O12" s="48">
        <f t="shared" si="3"/>
        <v>0</v>
      </c>
      <c r="P12" s="48">
        <f t="shared" si="3"/>
        <v>1</v>
      </c>
      <c r="Q12" s="48">
        <f t="shared" si="3"/>
        <v>0</v>
      </c>
      <c r="R12" s="48">
        <f t="shared" si="3"/>
        <v>0</v>
      </c>
      <c r="S12" s="48">
        <f t="shared" si="3"/>
        <v>0</v>
      </c>
      <c r="T12" s="48">
        <f t="shared" si="3"/>
        <v>0</v>
      </c>
      <c r="U12" s="48">
        <f t="shared" si="3"/>
        <v>0</v>
      </c>
      <c r="V12" s="48">
        <f t="shared" si="3"/>
        <v>0</v>
      </c>
      <c r="W12" s="48">
        <f t="shared" si="3"/>
        <v>0</v>
      </c>
      <c r="X12" s="48">
        <f t="shared" si="3"/>
        <v>0</v>
      </c>
      <c r="Y12" s="48">
        <f t="shared" si="3"/>
        <v>0</v>
      </c>
      <c r="Z12" s="129">
        <f t="shared" ref="Z12:AK12" si="4">Z9-Z11</f>
        <v>0</v>
      </c>
      <c r="AA12" s="129">
        <f t="shared" si="4"/>
        <v>0</v>
      </c>
      <c r="AB12" s="129">
        <f t="shared" si="4"/>
        <v>-38</v>
      </c>
      <c r="AC12" s="129">
        <f t="shared" si="4"/>
        <v>19</v>
      </c>
      <c r="AD12" s="129">
        <f t="shared" si="4"/>
        <v>0</v>
      </c>
      <c r="AE12" s="129">
        <f t="shared" si="4"/>
        <v>2</v>
      </c>
      <c r="AF12" s="129">
        <f t="shared" si="4"/>
        <v>4</v>
      </c>
      <c r="AG12" s="129">
        <f t="shared" si="4"/>
        <v>-2</v>
      </c>
      <c r="AH12" s="129">
        <f t="shared" si="4"/>
        <v>-28487</v>
      </c>
      <c r="AI12" s="129">
        <f t="shared" si="4"/>
        <v>-35101</v>
      </c>
      <c r="AJ12" s="129">
        <f t="shared" si="4"/>
        <v>-34900</v>
      </c>
      <c r="AK12" s="129">
        <f t="shared" si="4"/>
        <v>-29589</v>
      </c>
      <c r="AL12" s="430"/>
      <c r="AM12" s="98" t="s">
        <v>93</v>
      </c>
    </row>
    <row r="13" spans="1:64" ht="15.75" customHeight="1" x14ac:dyDescent="0.25">
      <c r="A13" s="429"/>
      <c r="B13" s="98" t="s">
        <v>94</v>
      </c>
      <c r="C13" s="44">
        <f>C10-C11</f>
        <v>-89678</v>
      </c>
      <c r="D13" s="44">
        <f t="shared" ref="D13:Y13" si="5">D10-D11</f>
        <v>22</v>
      </c>
      <c r="E13" s="44">
        <f t="shared" si="5"/>
        <v>-53</v>
      </c>
      <c r="F13" s="44">
        <f t="shared" si="5"/>
        <v>-32</v>
      </c>
      <c r="G13" s="44">
        <f t="shared" si="5"/>
        <v>-9</v>
      </c>
      <c r="H13" s="44">
        <f t="shared" si="5"/>
        <v>-1</v>
      </c>
      <c r="I13" s="44">
        <f t="shared" si="5"/>
        <v>-28</v>
      </c>
      <c r="J13" s="44">
        <f t="shared" si="5"/>
        <v>60</v>
      </c>
      <c r="K13" s="44">
        <f t="shared" si="5"/>
        <v>-113</v>
      </c>
      <c r="L13" s="44">
        <f t="shared" si="5"/>
        <v>12</v>
      </c>
      <c r="M13" s="44">
        <f t="shared" si="5"/>
        <v>8</v>
      </c>
      <c r="N13" s="44">
        <f t="shared" si="5"/>
        <v>-21802</v>
      </c>
      <c r="O13" s="44">
        <f t="shared" si="5"/>
        <v>-28631</v>
      </c>
      <c r="P13" s="44">
        <f t="shared" si="5"/>
        <v>-20079</v>
      </c>
      <c r="Q13" s="44">
        <f t="shared" si="5"/>
        <v>-17358</v>
      </c>
      <c r="R13" s="44">
        <f t="shared" si="5"/>
        <v>-55000</v>
      </c>
      <c r="S13" s="44">
        <f t="shared" si="5"/>
        <v>-48962</v>
      </c>
      <c r="T13" s="44">
        <f t="shared" si="5"/>
        <v>-35720</v>
      </c>
      <c r="U13" s="44">
        <f t="shared" si="5"/>
        <v>-3</v>
      </c>
      <c r="V13" s="44">
        <f t="shared" si="5"/>
        <v>4</v>
      </c>
      <c r="W13" s="44">
        <f t="shared" si="5"/>
        <v>1</v>
      </c>
      <c r="X13" s="44">
        <f t="shared" si="5"/>
        <v>-1</v>
      </c>
      <c r="Y13" s="44">
        <f t="shared" si="5"/>
        <v>-2</v>
      </c>
      <c r="Z13" s="129">
        <f t="shared" ref="Z13:AK13" si="6">Z10-Z11</f>
        <v>4</v>
      </c>
      <c r="AA13" s="129">
        <f t="shared" si="6"/>
        <v>-2</v>
      </c>
      <c r="AB13" s="129">
        <f t="shared" si="6"/>
        <v>-40</v>
      </c>
      <c r="AC13" s="129">
        <f t="shared" si="6"/>
        <v>50</v>
      </c>
      <c r="AD13" s="129">
        <f t="shared" si="6"/>
        <v>-1</v>
      </c>
      <c r="AE13" s="129">
        <f t="shared" si="6"/>
        <v>2</v>
      </c>
      <c r="AF13" s="129">
        <f t="shared" si="6"/>
        <v>4</v>
      </c>
      <c r="AG13" s="129">
        <f t="shared" si="6"/>
        <v>-2</v>
      </c>
      <c r="AH13" s="129">
        <f t="shared" si="6"/>
        <v>3</v>
      </c>
      <c r="AI13" s="129">
        <f t="shared" si="6"/>
        <v>-1</v>
      </c>
      <c r="AJ13" s="129">
        <f t="shared" si="6"/>
        <v>-50</v>
      </c>
      <c r="AK13" s="129">
        <f t="shared" si="6"/>
        <v>-29589</v>
      </c>
      <c r="AL13" s="430"/>
      <c r="AM13" s="98" t="s">
        <v>94</v>
      </c>
    </row>
    <row r="14" spans="1:64" s="21" customFormat="1" x14ac:dyDescent="0.25">
      <c r="A14" s="150"/>
      <c r="B14" s="97"/>
      <c r="C14" s="434"/>
      <c r="D14" s="435"/>
      <c r="E14" s="435"/>
      <c r="F14" s="435"/>
      <c r="G14" s="435"/>
      <c r="H14" s="435"/>
      <c r="I14" s="435"/>
      <c r="J14" s="435"/>
      <c r="K14" s="435"/>
      <c r="L14" s="435"/>
      <c r="M14" s="435"/>
      <c r="N14" s="435"/>
      <c r="O14" s="435"/>
      <c r="P14" s="435"/>
      <c r="Q14" s="435"/>
      <c r="R14" s="435"/>
      <c r="S14" s="435"/>
      <c r="T14" s="435"/>
      <c r="U14" s="435"/>
      <c r="V14" s="435"/>
      <c r="W14" s="435"/>
      <c r="X14" s="435"/>
      <c r="Y14" s="80"/>
      <c r="Z14" s="131"/>
      <c r="AA14" s="131"/>
      <c r="AB14" s="131"/>
      <c r="AC14" s="131"/>
      <c r="AD14" s="131"/>
      <c r="AE14" s="131"/>
      <c r="AF14" s="131"/>
      <c r="AG14" s="131"/>
      <c r="AH14" s="403">
        <f>(AH11*100)/AH10-100</f>
        <v>-1.0530010530004574E-2</v>
      </c>
      <c r="AI14" s="403">
        <f>(AI11*100)/AI10-100</f>
        <v>2.8490028490040231E-3</v>
      </c>
      <c r="AJ14" s="403">
        <f>(AJ11*100)/AJ10-100</f>
        <v>0.14347202295552108</v>
      </c>
      <c r="AK14" s="403" t="e">
        <f>(AK11*100)/AK10-100</f>
        <v>#DIV/0!</v>
      </c>
      <c r="AL14" s="407"/>
      <c r="AM14" s="97"/>
    </row>
    <row r="15" spans="1:64" x14ac:dyDescent="0.25">
      <c r="A15" s="156"/>
      <c r="B15" s="99"/>
      <c r="C15" s="137"/>
      <c r="D15" s="138"/>
      <c r="E15" s="137"/>
      <c r="F15" s="138"/>
      <c r="G15" s="137"/>
      <c r="H15" s="138"/>
      <c r="I15" s="137"/>
      <c r="J15" s="138"/>
      <c r="K15" s="137"/>
      <c r="L15" s="138"/>
      <c r="M15" s="137"/>
      <c r="N15" s="138"/>
      <c r="O15" s="137"/>
      <c r="P15" s="138"/>
      <c r="Q15"/>
      <c r="R15" s="138"/>
      <c r="S15" s="141"/>
      <c r="T15" s="141"/>
      <c r="U15" s="141"/>
      <c r="V15" s="141"/>
      <c r="W15" s="141"/>
      <c r="X15" s="141"/>
      <c r="Y15" s="141"/>
      <c r="Z15" s="141"/>
      <c r="AA15" s="142"/>
      <c r="AB15" s="142"/>
      <c r="AC15" s="142"/>
      <c r="AD15" s="142"/>
      <c r="AE15" s="142"/>
      <c r="AF15" s="142"/>
      <c r="AG15" s="142"/>
      <c r="AH15" s="142"/>
      <c r="AI15" s="142"/>
      <c r="AJ15" s="142"/>
      <c r="AK15" s="142"/>
      <c r="AL15" s="151"/>
      <c r="AM15" s="137"/>
      <c r="AN15" s="138"/>
      <c r="AO15" s="137"/>
      <c r="AP15" s="138"/>
      <c r="AQ15" s="137"/>
      <c r="AR15" s="138"/>
      <c r="AS15" s="137"/>
      <c r="AT15" s="138"/>
      <c r="AU15" s="137"/>
      <c r="AV15" s="138"/>
      <c r="AW15" s="137"/>
      <c r="AX15" s="138"/>
      <c r="AY15" s="137"/>
      <c r="AZ15" s="138"/>
      <c r="BA15" s="137"/>
      <c r="BB15" s="138"/>
      <c r="BC15" s="137"/>
      <c r="BD15" s="138"/>
      <c r="BE15" s="137"/>
      <c r="BF15" s="138"/>
      <c r="BG15" s="137"/>
      <c r="BH15" s="138"/>
      <c r="BI15" s="137"/>
      <c r="BJ15" s="17"/>
      <c r="BK15" s="17"/>
      <c r="BL15" s="17"/>
    </row>
    <row r="16" spans="1:64" x14ac:dyDescent="0.25">
      <c r="A16" s="429" t="s">
        <v>13</v>
      </c>
      <c r="B16" s="97" t="s">
        <v>1</v>
      </c>
      <c r="C16" s="38">
        <v>7840000</v>
      </c>
      <c r="D16" s="38">
        <v>7289344</v>
      </c>
      <c r="E16" s="38">
        <v>5473156</v>
      </c>
      <c r="F16" s="38">
        <v>3206382</v>
      </c>
      <c r="G16" s="38">
        <v>5314104</v>
      </c>
      <c r="H16" s="38">
        <v>6135299</v>
      </c>
      <c r="I16" s="38">
        <v>7666538</v>
      </c>
      <c r="J16" s="38">
        <v>3143818</v>
      </c>
      <c r="K16" s="38">
        <v>7156188</v>
      </c>
      <c r="L16" s="38">
        <v>5181812</v>
      </c>
      <c r="M16" s="38">
        <v>4661439</v>
      </c>
      <c r="N16" s="38">
        <v>4456000</v>
      </c>
      <c r="O16" s="38">
        <v>7764000</v>
      </c>
      <c r="P16" s="38">
        <v>4420995</v>
      </c>
      <c r="Q16" s="38">
        <v>2479052</v>
      </c>
      <c r="R16" s="38">
        <v>7812428</v>
      </c>
      <c r="S16" s="38">
        <v>7340664</v>
      </c>
      <c r="T16" s="38">
        <v>5526190</v>
      </c>
      <c r="U16" s="38">
        <v>3044460</v>
      </c>
      <c r="V16" s="38">
        <v>7180980</v>
      </c>
      <c r="W16" s="38">
        <v>5202526</v>
      </c>
      <c r="X16" s="38">
        <v>5811810</v>
      </c>
      <c r="Y16" s="61">
        <v>7131590</v>
      </c>
      <c r="Z16" s="128">
        <v>5297748</v>
      </c>
      <c r="AA16" s="128">
        <v>7296373</v>
      </c>
      <c r="AB16" s="165">
        <v>7584814</v>
      </c>
      <c r="AC16" s="165">
        <v>7962421</v>
      </c>
      <c r="AD16" s="165">
        <v>8431131</v>
      </c>
      <c r="AE16" s="165">
        <v>10034960</v>
      </c>
      <c r="AF16" s="388">
        <v>10143670</v>
      </c>
      <c r="AG16" s="389">
        <v>10297110</v>
      </c>
      <c r="AH16" s="399"/>
      <c r="AI16" s="399"/>
      <c r="AJ16" s="399"/>
      <c r="AK16" s="399"/>
      <c r="AL16" s="430" t="s">
        <v>13</v>
      </c>
      <c r="AM16" s="97" t="s">
        <v>1</v>
      </c>
    </row>
    <row r="17" spans="1:62" x14ac:dyDescent="0.25">
      <c r="A17" s="429"/>
      <c r="B17" s="97" t="s">
        <v>2</v>
      </c>
      <c r="C17" s="47"/>
      <c r="D17" s="46">
        <v>7289300</v>
      </c>
      <c r="E17" s="46">
        <v>5473200</v>
      </c>
      <c r="F17" s="46">
        <v>3206400</v>
      </c>
      <c r="G17" s="46">
        <v>5314100</v>
      </c>
      <c r="H17" s="46">
        <v>6135300</v>
      </c>
      <c r="I17" s="46">
        <v>7666600</v>
      </c>
      <c r="J17" s="46">
        <v>3143800</v>
      </c>
      <c r="K17" s="46">
        <v>7156700</v>
      </c>
      <c r="L17" s="46">
        <v>5181800</v>
      </c>
      <c r="M17" s="46">
        <v>4661400</v>
      </c>
      <c r="N17" s="46">
        <v>4434400</v>
      </c>
      <c r="O17" s="46">
        <v>7735100</v>
      </c>
      <c r="P17" s="46">
        <v>4421000</v>
      </c>
      <c r="Q17" s="46">
        <v>2479100</v>
      </c>
      <c r="R17" s="46">
        <v>7812400</v>
      </c>
      <c r="S17" s="46">
        <v>7340700</v>
      </c>
      <c r="T17" s="46">
        <v>5526200</v>
      </c>
      <c r="U17" s="46">
        <v>3044500</v>
      </c>
      <c r="V17" s="46">
        <v>7181000</v>
      </c>
      <c r="W17" s="46">
        <v>5202500</v>
      </c>
      <c r="X17" s="46">
        <v>5587500</v>
      </c>
      <c r="Y17" s="49">
        <v>7192200</v>
      </c>
      <c r="Z17" s="128">
        <v>5297700</v>
      </c>
      <c r="AA17" s="128">
        <v>7296400</v>
      </c>
      <c r="AB17" s="165">
        <f>7584.81*1000</f>
        <v>7584810</v>
      </c>
      <c r="AC17" s="165">
        <f>7962.42*1000</f>
        <v>7962420</v>
      </c>
      <c r="AD17" s="165">
        <f>8431.13*1000</f>
        <v>8431130</v>
      </c>
      <c r="AE17" s="165">
        <f>10034.96*1000</f>
        <v>10034960</v>
      </c>
      <c r="AF17" s="388">
        <v>10143670</v>
      </c>
      <c r="AG17" s="165">
        <v>10297110</v>
      </c>
      <c r="AH17" s="165">
        <v>6754530</v>
      </c>
      <c r="AI17" s="165">
        <v>10433750</v>
      </c>
      <c r="AJ17" s="165">
        <v>8684240</v>
      </c>
      <c r="AK17" s="188"/>
      <c r="AL17" s="430"/>
      <c r="AM17" s="97" t="s">
        <v>2</v>
      </c>
    </row>
    <row r="18" spans="1:62" x14ac:dyDescent="0.25">
      <c r="A18" s="429"/>
      <c r="B18" s="97" t="s">
        <v>92</v>
      </c>
      <c r="C18" s="40">
        <v>7845522</v>
      </c>
      <c r="D18" s="81">
        <v>7289344</v>
      </c>
      <c r="E18" s="81">
        <v>5473156</v>
      </c>
      <c r="F18" s="81">
        <v>3206382</v>
      </c>
      <c r="G18" s="81">
        <v>5314104</v>
      </c>
      <c r="H18" s="65">
        <v>6135299</v>
      </c>
      <c r="I18" s="65">
        <v>7666538</v>
      </c>
      <c r="J18" s="65">
        <v>3143818</v>
      </c>
      <c r="K18" s="65">
        <v>7156188</v>
      </c>
      <c r="L18" s="65">
        <v>5181823</v>
      </c>
      <c r="M18" s="65">
        <v>4661439</v>
      </c>
      <c r="N18" s="65">
        <v>4434438</v>
      </c>
      <c r="O18" s="65">
        <v>7735136</v>
      </c>
      <c r="P18" s="65">
        <v>4420995</v>
      </c>
      <c r="Q18" s="65">
        <v>2479052</v>
      </c>
      <c r="R18" s="42">
        <v>7812428</v>
      </c>
      <c r="S18" s="42">
        <v>7340664</v>
      </c>
      <c r="T18" s="42">
        <v>5526190</v>
      </c>
      <c r="U18" s="42">
        <v>3044465</v>
      </c>
      <c r="V18" s="42">
        <v>7180984</v>
      </c>
      <c r="W18" s="42">
        <v>5202526</v>
      </c>
      <c r="X18" s="42">
        <v>5811810</v>
      </c>
      <c r="Y18" s="49">
        <v>7131590</v>
      </c>
      <c r="Z18" s="128">
        <v>5297748</v>
      </c>
      <c r="AA18" s="128">
        <v>7296400</v>
      </c>
      <c r="AB18" s="128">
        <v>7584800</v>
      </c>
      <c r="AC18" s="128">
        <v>7962400</v>
      </c>
      <c r="AD18" s="128">
        <v>8431131</v>
      </c>
      <c r="AE18" s="128">
        <v>10034955</v>
      </c>
      <c r="AF18" s="128">
        <v>10143671</v>
      </c>
      <c r="AG18" s="128">
        <v>10297107</v>
      </c>
      <c r="AH18" s="128">
        <v>6754534</v>
      </c>
      <c r="AI18" s="128">
        <v>10433751</v>
      </c>
      <c r="AJ18" s="128">
        <v>8684200</v>
      </c>
      <c r="AK18" s="128">
        <v>9624074</v>
      </c>
      <c r="AL18" s="430"/>
      <c r="AM18" s="97" t="s">
        <v>92</v>
      </c>
    </row>
    <row r="19" spans="1:62" ht="21" customHeight="1" x14ac:dyDescent="0.25">
      <c r="A19" s="429"/>
      <c r="B19" s="98" t="s">
        <v>93</v>
      </c>
      <c r="C19" s="44">
        <f>C16-C18</f>
        <v>-5522</v>
      </c>
      <c r="D19" s="44">
        <f t="shared" ref="D19:Y19" si="7">D16-D18</f>
        <v>0</v>
      </c>
      <c r="E19" s="44">
        <f t="shared" si="7"/>
        <v>0</v>
      </c>
      <c r="F19" s="44">
        <f t="shared" si="7"/>
        <v>0</v>
      </c>
      <c r="G19" s="44">
        <f t="shared" si="7"/>
        <v>0</v>
      </c>
      <c r="H19" s="44">
        <f t="shared" si="7"/>
        <v>0</v>
      </c>
      <c r="I19" s="44">
        <f t="shared" si="7"/>
        <v>0</v>
      </c>
      <c r="J19" s="44">
        <f t="shared" si="7"/>
        <v>0</v>
      </c>
      <c r="K19" s="44">
        <f t="shared" si="7"/>
        <v>0</v>
      </c>
      <c r="L19" s="44">
        <f t="shared" si="7"/>
        <v>-11</v>
      </c>
      <c r="M19" s="44">
        <f t="shared" si="7"/>
        <v>0</v>
      </c>
      <c r="N19" s="44">
        <f t="shared" si="7"/>
        <v>21562</v>
      </c>
      <c r="O19" s="44">
        <f t="shared" si="7"/>
        <v>28864</v>
      </c>
      <c r="P19" s="44">
        <f t="shared" si="7"/>
        <v>0</v>
      </c>
      <c r="Q19" s="44">
        <f t="shared" si="7"/>
        <v>0</v>
      </c>
      <c r="R19" s="44">
        <f t="shared" si="7"/>
        <v>0</v>
      </c>
      <c r="S19" s="44">
        <f t="shared" si="7"/>
        <v>0</v>
      </c>
      <c r="T19" s="44">
        <f t="shared" si="7"/>
        <v>0</v>
      </c>
      <c r="U19" s="44">
        <f t="shared" si="7"/>
        <v>-5</v>
      </c>
      <c r="V19" s="44">
        <f t="shared" si="7"/>
        <v>-4</v>
      </c>
      <c r="W19" s="44">
        <f t="shared" si="7"/>
        <v>0</v>
      </c>
      <c r="X19" s="44">
        <f t="shared" si="7"/>
        <v>0</v>
      </c>
      <c r="Y19" s="44">
        <f t="shared" si="7"/>
        <v>0</v>
      </c>
      <c r="Z19" s="129">
        <f t="shared" ref="Z19:AE19" si="8">Z16-Z18</f>
        <v>0</v>
      </c>
      <c r="AA19" s="129">
        <f t="shared" si="8"/>
        <v>-27</v>
      </c>
      <c r="AB19" s="129">
        <f t="shared" si="8"/>
        <v>14</v>
      </c>
      <c r="AC19" s="129">
        <f t="shared" si="8"/>
        <v>21</v>
      </c>
      <c r="AD19" s="129">
        <f t="shared" si="8"/>
        <v>0</v>
      </c>
      <c r="AE19" s="129">
        <f t="shared" si="8"/>
        <v>5</v>
      </c>
      <c r="AF19" s="129">
        <f t="shared" ref="AF19:AK19" si="9">AF17-AF18</f>
        <v>-1</v>
      </c>
      <c r="AG19" s="129">
        <f t="shared" si="9"/>
        <v>3</v>
      </c>
      <c r="AH19" s="129">
        <f t="shared" si="9"/>
        <v>-4</v>
      </c>
      <c r="AI19" s="129">
        <f t="shared" si="9"/>
        <v>-1</v>
      </c>
      <c r="AJ19" s="129">
        <f t="shared" si="9"/>
        <v>40</v>
      </c>
      <c r="AK19" s="129">
        <f t="shared" si="9"/>
        <v>-9624074</v>
      </c>
      <c r="AL19" s="430"/>
      <c r="AM19" s="98" t="s">
        <v>93</v>
      </c>
    </row>
    <row r="20" spans="1:62" ht="18.75" customHeight="1" x14ac:dyDescent="0.25">
      <c r="A20" s="429"/>
      <c r="B20" s="98" t="s">
        <v>94</v>
      </c>
      <c r="C20" s="44">
        <f>C17-C18</f>
        <v>-7845522</v>
      </c>
      <c r="D20" s="44">
        <f t="shared" ref="D20:Y20" si="10">D17-D18</f>
        <v>-44</v>
      </c>
      <c r="E20" s="44">
        <f t="shared" si="10"/>
        <v>44</v>
      </c>
      <c r="F20" s="44">
        <f t="shared" si="10"/>
        <v>18</v>
      </c>
      <c r="G20" s="44">
        <f t="shared" si="10"/>
        <v>-4</v>
      </c>
      <c r="H20" s="44">
        <f t="shared" si="10"/>
        <v>1</v>
      </c>
      <c r="I20" s="44">
        <f t="shared" si="10"/>
        <v>62</v>
      </c>
      <c r="J20" s="44">
        <f t="shared" si="10"/>
        <v>-18</v>
      </c>
      <c r="K20" s="44">
        <f t="shared" si="10"/>
        <v>512</v>
      </c>
      <c r="L20" s="44">
        <f t="shared" si="10"/>
        <v>-23</v>
      </c>
      <c r="M20" s="44">
        <f t="shared" si="10"/>
        <v>-39</v>
      </c>
      <c r="N20" s="44">
        <f t="shared" si="10"/>
        <v>-38</v>
      </c>
      <c r="O20" s="44">
        <f>O17-O18</f>
        <v>-36</v>
      </c>
      <c r="P20" s="44">
        <f t="shared" si="10"/>
        <v>5</v>
      </c>
      <c r="Q20" s="44">
        <f t="shared" si="10"/>
        <v>48</v>
      </c>
      <c r="R20" s="44">
        <f t="shared" si="10"/>
        <v>-28</v>
      </c>
      <c r="S20" s="44">
        <f t="shared" si="10"/>
        <v>36</v>
      </c>
      <c r="T20" s="44">
        <f t="shared" si="10"/>
        <v>10</v>
      </c>
      <c r="U20" s="44">
        <f t="shared" si="10"/>
        <v>35</v>
      </c>
      <c r="V20" s="44">
        <f t="shared" si="10"/>
        <v>16</v>
      </c>
      <c r="W20" s="44">
        <f t="shared" si="10"/>
        <v>-26</v>
      </c>
      <c r="X20" s="44">
        <f t="shared" si="10"/>
        <v>-224310</v>
      </c>
      <c r="Y20" s="44">
        <f t="shared" si="10"/>
        <v>60610</v>
      </c>
      <c r="Z20" s="129">
        <f t="shared" ref="Z20:AK20" si="11">Z17-Z18</f>
        <v>-48</v>
      </c>
      <c r="AA20" s="129">
        <f t="shared" si="11"/>
        <v>0</v>
      </c>
      <c r="AB20" s="129">
        <f t="shared" si="11"/>
        <v>10</v>
      </c>
      <c r="AC20" s="129">
        <f t="shared" si="11"/>
        <v>20</v>
      </c>
      <c r="AD20" s="129">
        <f t="shared" si="11"/>
        <v>-1</v>
      </c>
      <c r="AE20" s="129">
        <f t="shared" si="11"/>
        <v>5</v>
      </c>
      <c r="AF20" s="129">
        <f t="shared" si="11"/>
        <v>-1</v>
      </c>
      <c r="AG20" s="129">
        <f t="shared" si="11"/>
        <v>3</v>
      </c>
      <c r="AH20" s="129">
        <f t="shared" si="11"/>
        <v>-4</v>
      </c>
      <c r="AI20" s="129">
        <f t="shared" si="11"/>
        <v>-1</v>
      </c>
      <c r="AJ20" s="129">
        <f t="shared" si="11"/>
        <v>40</v>
      </c>
      <c r="AK20" s="129">
        <f t="shared" si="11"/>
        <v>-9624074</v>
      </c>
      <c r="AL20" s="430"/>
      <c r="AM20" s="98" t="s">
        <v>94</v>
      </c>
    </row>
    <row r="21" spans="1:62" x14ac:dyDescent="0.25">
      <c r="A21" s="158"/>
      <c r="B21" s="99"/>
      <c r="C21" s="137"/>
      <c r="D21" s="138"/>
      <c r="E21" s="137"/>
      <c r="F21" s="138"/>
      <c r="G21" s="137"/>
      <c r="H21" s="138"/>
      <c r="I21" s="137"/>
      <c r="J21" s="138"/>
      <c r="K21" s="137"/>
      <c r="L21" s="138"/>
      <c r="M21" s="137"/>
      <c r="N21" s="147">
        <f>(N18*100)/N17-100</f>
        <v>8.5693667689668018E-4</v>
      </c>
      <c r="O21" s="147">
        <f>(O18*100)/O17-100</f>
        <v>4.6541091906249221E-4</v>
      </c>
      <c r="P21" s="147"/>
      <c r="Q21" s="147"/>
      <c r="R21" s="147"/>
      <c r="S21" s="147"/>
      <c r="T21" s="147"/>
      <c r="U21" s="147"/>
      <c r="V21" s="147"/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406">
        <f>(AH18*100)/AH17-100</f>
        <v>5.9219516387543081E-5</v>
      </c>
      <c r="AI21" s="406">
        <f>(AI18*100)/AI17-100</f>
        <v>9.5842817842139993E-6</v>
      </c>
      <c r="AJ21" s="406">
        <f>(AJ18*100)/AJ17-100</f>
        <v>-4.6060449734852682E-4</v>
      </c>
      <c r="AK21" s="406" t="e">
        <f>(AK18*100)/AK17-100</f>
        <v>#DIV/0!</v>
      </c>
      <c r="AL21" s="152"/>
      <c r="AM21" s="137"/>
      <c r="AN21" s="138"/>
      <c r="AO21" s="137"/>
      <c r="AP21" s="138"/>
      <c r="AQ21" s="137"/>
      <c r="AR21" s="138"/>
      <c r="AS21" s="137"/>
      <c r="AT21" s="138"/>
      <c r="AU21" s="137"/>
      <c r="AV21" s="138"/>
      <c r="AW21" s="137"/>
      <c r="AX21" s="138"/>
      <c r="AY21" s="137"/>
      <c r="AZ21" s="138"/>
      <c r="BA21" s="137"/>
      <c r="BB21" s="138"/>
      <c r="BC21" s="137"/>
      <c r="BD21" s="138"/>
      <c r="BE21" s="137"/>
      <c r="BF21" s="138"/>
      <c r="BG21" s="137"/>
      <c r="BH21" s="138"/>
      <c r="BI21" s="137"/>
      <c r="BJ21" s="137"/>
    </row>
    <row r="22" spans="1:62" x14ac:dyDescent="0.25">
      <c r="A22" s="429" t="s">
        <v>14</v>
      </c>
      <c r="B22" s="97" t="s">
        <v>1</v>
      </c>
      <c r="C22" s="38">
        <v>3436300</v>
      </c>
      <c r="D22" s="38">
        <v>2679558</v>
      </c>
      <c r="E22" s="38">
        <v>2950698</v>
      </c>
      <c r="F22" s="38">
        <v>1677956</v>
      </c>
      <c r="G22" s="38">
        <v>1552800</v>
      </c>
      <c r="H22" s="38">
        <v>2133600</v>
      </c>
      <c r="I22" s="38">
        <v>1816267</v>
      </c>
      <c r="J22" s="38">
        <v>1107547</v>
      </c>
      <c r="K22" s="38">
        <v>1889343</v>
      </c>
      <c r="L22" s="38">
        <v>1238000</v>
      </c>
      <c r="M22" s="38">
        <v>1018600</v>
      </c>
      <c r="N22" s="38">
        <v>867000</v>
      </c>
      <c r="O22" s="38">
        <v>1580048</v>
      </c>
      <c r="P22" s="38">
        <v>1160387</v>
      </c>
      <c r="Q22" s="38">
        <v>540800</v>
      </c>
      <c r="R22" s="38">
        <v>1405996</v>
      </c>
      <c r="S22" s="38">
        <v>1079148</v>
      </c>
      <c r="T22" s="38">
        <v>772929</v>
      </c>
      <c r="U22" s="38">
        <v>531420</v>
      </c>
      <c r="V22" s="38">
        <v>1209410</v>
      </c>
      <c r="W22" s="38">
        <v>1182062</v>
      </c>
      <c r="X22" s="38">
        <v>1311035</v>
      </c>
      <c r="Y22" s="61">
        <v>1329692</v>
      </c>
      <c r="Z22" s="128">
        <v>986361</v>
      </c>
      <c r="AA22" s="128">
        <v>1542247</v>
      </c>
      <c r="AB22" s="165">
        <v>1712509</v>
      </c>
      <c r="AC22" s="165">
        <v>1626330</v>
      </c>
      <c r="AD22" s="165">
        <v>1817269</v>
      </c>
      <c r="AE22" s="165">
        <v>1906700</v>
      </c>
      <c r="AF22" s="165">
        <v>1870710</v>
      </c>
      <c r="AG22" s="165">
        <v>1879950</v>
      </c>
      <c r="AH22" s="188"/>
      <c r="AI22" s="188"/>
      <c r="AJ22" s="188"/>
      <c r="AK22" s="188"/>
      <c r="AL22" s="430" t="s">
        <v>14</v>
      </c>
      <c r="AM22" s="97" t="s">
        <v>1</v>
      </c>
    </row>
    <row r="23" spans="1:62" x14ac:dyDescent="0.25">
      <c r="A23" s="436"/>
      <c r="B23" s="97" t="s">
        <v>2</v>
      </c>
      <c r="C23" s="47"/>
      <c r="D23" s="46">
        <v>2679600</v>
      </c>
      <c r="E23" s="46">
        <v>2950700</v>
      </c>
      <c r="F23" s="46">
        <v>1678000</v>
      </c>
      <c r="G23" s="46">
        <v>1552800</v>
      </c>
      <c r="H23" s="46">
        <v>2133600</v>
      </c>
      <c r="I23" s="46">
        <v>1816300</v>
      </c>
      <c r="J23" s="46">
        <v>1107500</v>
      </c>
      <c r="K23" s="46">
        <v>1891300</v>
      </c>
      <c r="L23" s="46">
        <v>1238000</v>
      </c>
      <c r="M23" s="46">
        <v>1018600</v>
      </c>
      <c r="N23" s="47"/>
      <c r="O23" s="47"/>
      <c r="P23" s="47"/>
      <c r="Q23" s="47"/>
      <c r="R23" s="47"/>
      <c r="S23" s="47"/>
      <c r="T23" s="47"/>
      <c r="U23" s="371">
        <f>531.42*1000</f>
        <v>531420</v>
      </c>
      <c r="V23" s="372">
        <f>1209.41*1000</f>
        <v>1209410</v>
      </c>
      <c r="W23" s="371">
        <f>1182.06*1000</f>
        <v>1182060</v>
      </c>
      <c r="X23" s="371">
        <f>1311.04*1000</f>
        <v>1311040</v>
      </c>
      <c r="Y23" s="371">
        <f>1329.69*1000</f>
        <v>1329690</v>
      </c>
      <c r="Z23" s="373">
        <f>986.36*1000</f>
        <v>986360</v>
      </c>
      <c r="AA23" s="374">
        <f>1542.25*1000</f>
        <v>1542250</v>
      </c>
      <c r="AB23" s="374">
        <f>1712.51*1000</f>
        <v>1712510</v>
      </c>
      <c r="AC23" s="374">
        <f>1626.33*1000</f>
        <v>1626330</v>
      </c>
      <c r="AD23" s="374">
        <f>1817.27*1000</f>
        <v>1817270</v>
      </c>
      <c r="AE23" s="374">
        <f>1844.85*1000</f>
        <v>1844850</v>
      </c>
      <c r="AF23" s="374">
        <v>1870710</v>
      </c>
      <c r="AG23" s="374">
        <v>1879950</v>
      </c>
      <c r="AH23" s="374">
        <v>1154520</v>
      </c>
      <c r="AI23" s="374">
        <v>1981030</v>
      </c>
      <c r="AJ23" s="374">
        <v>1706650</v>
      </c>
      <c r="AK23" s="415"/>
      <c r="AL23" s="433"/>
      <c r="AM23" s="97" t="s">
        <v>2</v>
      </c>
    </row>
    <row r="24" spans="1:62" x14ac:dyDescent="0.25">
      <c r="A24" s="436"/>
      <c r="B24" s="97" t="s">
        <v>92</v>
      </c>
      <c r="C24" s="82">
        <v>3436300</v>
      </c>
      <c r="D24" s="83">
        <v>2679558</v>
      </c>
      <c r="E24" s="83">
        <v>2950698</v>
      </c>
      <c r="F24" s="83">
        <v>1677956</v>
      </c>
      <c r="G24" s="83">
        <v>1552793</v>
      </c>
      <c r="H24" s="84">
        <v>2133563</v>
      </c>
      <c r="I24" s="84">
        <v>1816267</v>
      </c>
      <c r="J24" s="84">
        <v>1107547</v>
      </c>
      <c r="K24" s="84">
        <v>1889343</v>
      </c>
      <c r="L24" s="84">
        <v>1238001</v>
      </c>
      <c r="M24" s="84">
        <v>1018586</v>
      </c>
      <c r="N24" s="84">
        <v>867018</v>
      </c>
      <c r="O24" s="84">
        <v>1580048</v>
      </c>
      <c r="P24" s="84">
        <v>1160387</v>
      </c>
      <c r="Q24" s="84">
        <v>540849</v>
      </c>
      <c r="R24" s="45">
        <v>1405996</v>
      </c>
      <c r="S24" s="45">
        <v>1079148</v>
      </c>
      <c r="T24" s="45">
        <v>772929</v>
      </c>
      <c r="U24" s="45">
        <v>531420</v>
      </c>
      <c r="V24" s="45">
        <v>1209411</v>
      </c>
      <c r="W24" s="45">
        <v>1182062</v>
      </c>
      <c r="X24" s="45">
        <v>1311035</v>
      </c>
      <c r="Y24" s="49">
        <v>1329692</v>
      </c>
      <c r="Z24" s="128">
        <v>986361</v>
      </c>
      <c r="AA24" s="128">
        <v>1542200</v>
      </c>
      <c r="AB24" s="128">
        <v>1712500</v>
      </c>
      <c r="AC24" s="128">
        <v>1623200</v>
      </c>
      <c r="AD24" s="128">
        <v>1817269</v>
      </c>
      <c r="AE24" s="128">
        <v>1906703</v>
      </c>
      <c r="AF24" s="128">
        <v>1870710</v>
      </c>
      <c r="AG24" s="128">
        <v>1879947</v>
      </c>
      <c r="AH24" s="128">
        <v>1154521</v>
      </c>
      <c r="AI24" s="128">
        <v>1981030</v>
      </c>
      <c r="AJ24" s="128">
        <v>1706650</v>
      </c>
      <c r="AK24" s="128">
        <v>1997624</v>
      </c>
      <c r="AL24" s="433"/>
      <c r="AM24" s="97" t="s">
        <v>92</v>
      </c>
    </row>
    <row r="25" spans="1:62" ht="21" customHeight="1" x14ac:dyDescent="0.25">
      <c r="A25" s="436"/>
      <c r="B25" s="98" t="s">
        <v>93</v>
      </c>
      <c r="C25" s="48">
        <f>C22-C24</f>
        <v>0</v>
      </c>
      <c r="D25" s="48">
        <f t="shared" ref="D25:Y25" si="12">D22-D24</f>
        <v>0</v>
      </c>
      <c r="E25" s="48">
        <f t="shared" si="12"/>
        <v>0</v>
      </c>
      <c r="F25" s="48">
        <f t="shared" si="12"/>
        <v>0</v>
      </c>
      <c r="G25" s="48">
        <f t="shared" si="12"/>
        <v>7</v>
      </c>
      <c r="H25" s="48">
        <f t="shared" si="12"/>
        <v>37</v>
      </c>
      <c r="I25" s="48">
        <f t="shared" si="12"/>
        <v>0</v>
      </c>
      <c r="J25" s="48">
        <f t="shared" si="12"/>
        <v>0</v>
      </c>
      <c r="K25" s="48">
        <f t="shared" si="12"/>
        <v>0</v>
      </c>
      <c r="L25" s="48">
        <f t="shared" si="12"/>
        <v>-1</v>
      </c>
      <c r="M25" s="48">
        <f t="shared" si="12"/>
        <v>14</v>
      </c>
      <c r="N25" s="48">
        <f t="shared" si="12"/>
        <v>-18</v>
      </c>
      <c r="O25" s="48">
        <f t="shared" si="12"/>
        <v>0</v>
      </c>
      <c r="P25" s="48">
        <f t="shared" si="12"/>
        <v>0</v>
      </c>
      <c r="Q25" s="48">
        <f t="shared" si="12"/>
        <v>-49</v>
      </c>
      <c r="R25" s="48">
        <f t="shared" si="12"/>
        <v>0</v>
      </c>
      <c r="S25" s="48">
        <f t="shared" si="12"/>
        <v>0</v>
      </c>
      <c r="T25" s="48">
        <f t="shared" si="12"/>
        <v>0</v>
      </c>
      <c r="U25" s="48">
        <f t="shared" si="12"/>
        <v>0</v>
      </c>
      <c r="V25" s="48">
        <f t="shared" si="12"/>
        <v>-1</v>
      </c>
      <c r="W25" s="48">
        <f t="shared" si="12"/>
        <v>0</v>
      </c>
      <c r="X25" s="48">
        <f t="shared" si="12"/>
        <v>0</v>
      </c>
      <c r="Y25" s="48">
        <f t="shared" si="12"/>
        <v>0</v>
      </c>
      <c r="Z25" s="129">
        <f t="shared" ref="Z25:AK25" si="13">Z22-Z24</f>
        <v>0</v>
      </c>
      <c r="AA25" s="129">
        <f t="shared" si="13"/>
        <v>47</v>
      </c>
      <c r="AB25" s="129">
        <f t="shared" si="13"/>
        <v>9</v>
      </c>
      <c r="AC25" s="129">
        <f t="shared" si="13"/>
        <v>3130</v>
      </c>
      <c r="AD25" s="129">
        <f t="shared" si="13"/>
        <v>0</v>
      </c>
      <c r="AE25" s="129">
        <f t="shared" si="13"/>
        <v>-3</v>
      </c>
      <c r="AF25" s="129">
        <f t="shared" si="13"/>
        <v>0</v>
      </c>
      <c r="AG25" s="129">
        <f t="shared" si="13"/>
        <v>3</v>
      </c>
      <c r="AH25" s="129">
        <f t="shared" si="13"/>
        <v>-1154521</v>
      </c>
      <c r="AI25" s="129">
        <f t="shared" si="13"/>
        <v>-1981030</v>
      </c>
      <c r="AJ25" s="129">
        <f t="shared" si="13"/>
        <v>-1706650</v>
      </c>
      <c r="AK25" s="129">
        <f t="shared" si="13"/>
        <v>-1997624</v>
      </c>
      <c r="AL25" s="433"/>
      <c r="AM25" s="98" t="s">
        <v>93</v>
      </c>
    </row>
    <row r="26" spans="1:62" ht="15" customHeight="1" x14ac:dyDescent="0.25">
      <c r="A26" s="436"/>
      <c r="B26" s="98" t="s">
        <v>94</v>
      </c>
      <c r="C26" s="44">
        <v>-3436300</v>
      </c>
      <c r="D26" s="44">
        <v>-2679558</v>
      </c>
      <c r="E26" s="44">
        <v>-2950698</v>
      </c>
      <c r="F26" s="44">
        <v>-1677956</v>
      </c>
      <c r="G26" s="44">
        <v>-1552793</v>
      </c>
      <c r="H26" s="44">
        <v>-2133563</v>
      </c>
      <c r="I26" s="44">
        <v>-1816267</v>
      </c>
      <c r="J26" s="44">
        <v>-1107547</v>
      </c>
      <c r="K26" s="44">
        <v>-1889343</v>
      </c>
      <c r="L26" s="44">
        <v>-1238001</v>
      </c>
      <c r="M26" s="44">
        <v>-1018586</v>
      </c>
      <c r="N26" s="44">
        <v>-867018</v>
      </c>
      <c r="O26" s="44">
        <v>-1580048</v>
      </c>
      <c r="P26" s="44">
        <v>-1160387</v>
      </c>
      <c r="Q26" s="44">
        <v>-540849</v>
      </c>
      <c r="R26" s="44">
        <v>-1405996</v>
      </c>
      <c r="S26" s="44">
        <v>-1079148</v>
      </c>
      <c r="T26" s="44">
        <v>-772929</v>
      </c>
      <c r="U26" s="44">
        <v>-531420</v>
      </c>
      <c r="V26" s="44">
        <v>-1209411</v>
      </c>
      <c r="W26" s="44">
        <v>-1182062</v>
      </c>
      <c r="X26" s="44">
        <v>-1311035</v>
      </c>
      <c r="Y26" s="44">
        <f t="shared" ref="Y26:AK26" si="14">Y23-Y24</f>
        <v>-2</v>
      </c>
      <c r="Z26" s="129">
        <f t="shared" si="14"/>
        <v>-1</v>
      </c>
      <c r="AA26" s="129">
        <f t="shared" si="14"/>
        <v>50</v>
      </c>
      <c r="AB26" s="129">
        <f t="shared" si="14"/>
        <v>10</v>
      </c>
      <c r="AC26" s="129">
        <f t="shared" si="14"/>
        <v>3130</v>
      </c>
      <c r="AD26" s="129">
        <f t="shared" si="14"/>
        <v>1</v>
      </c>
      <c r="AE26" s="129">
        <f t="shared" si="14"/>
        <v>-61853</v>
      </c>
      <c r="AF26" s="129">
        <f t="shared" si="14"/>
        <v>0</v>
      </c>
      <c r="AG26" s="129">
        <f t="shared" si="14"/>
        <v>3</v>
      </c>
      <c r="AH26" s="129">
        <f t="shared" si="14"/>
        <v>-1</v>
      </c>
      <c r="AI26" s="129">
        <f t="shared" si="14"/>
        <v>0</v>
      </c>
      <c r="AJ26" s="129">
        <f t="shared" si="14"/>
        <v>0</v>
      </c>
      <c r="AK26" s="129">
        <f t="shared" si="14"/>
        <v>-1997624</v>
      </c>
      <c r="AL26" s="433"/>
      <c r="AM26" s="98" t="s">
        <v>94</v>
      </c>
    </row>
    <row r="27" spans="1:62" x14ac:dyDescent="0.25">
      <c r="A27" s="156"/>
      <c r="B27" s="99"/>
      <c r="C27" s="137"/>
      <c r="D27" s="137"/>
      <c r="E27" s="137"/>
      <c r="F27" s="137"/>
      <c r="G27" s="137"/>
      <c r="H27" s="137"/>
      <c r="I27" s="137"/>
      <c r="J27" s="137"/>
      <c r="K27" s="137"/>
      <c r="L27" s="137"/>
      <c r="M27" s="137"/>
      <c r="N27" s="137"/>
      <c r="O27" s="137"/>
      <c r="P27" s="137"/>
      <c r="Q27" s="137"/>
      <c r="R27" s="137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  <c r="AF27" s="137"/>
      <c r="AG27" s="137"/>
      <c r="AH27" s="405">
        <f>(AH24*100)/AH23-100</f>
        <v>8.6616082867863042E-5</v>
      </c>
      <c r="AI27" s="148">
        <f>(AI24*100)/AI23-100</f>
        <v>0</v>
      </c>
      <c r="AJ27" s="148">
        <f>(AJ24*100)/AJ23-100</f>
        <v>0</v>
      </c>
      <c r="AK27" s="148" t="e">
        <f>(AK24*100)/AK23-100</f>
        <v>#DIV/0!</v>
      </c>
      <c r="AL27" s="152"/>
      <c r="AM27" s="80"/>
      <c r="AN27" s="138"/>
      <c r="AO27" s="17"/>
      <c r="AP27" s="138"/>
      <c r="AQ27" s="17"/>
      <c r="AR27" s="138"/>
      <c r="AS27" s="17"/>
      <c r="AT27" s="138"/>
      <c r="AU27" s="17"/>
      <c r="AV27" s="138"/>
      <c r="AW27" s="17"/>
      <c r="AX27" s="138"/>
      <c r="AY27" s="17"/>
      <c r="AZ27" s="138"/>
      <c r="BA27" s="17"/>
      <c r="BB27" s="138"/>
      <c r="BC27" s="17"/>
      <c r="BD27" s="138"/>
      <c r="BE27" s="17"/>
      <c r="BF27" s="138"/>
      <c r="BG27" s="21"/>
      <c r="BH27" s="134"/>
    </row>
    <row r="28" spans="1:62" x14ac:dyDescent="0.25">
      <c r="A28" s="429" t="s">
        <v>15</v>
      </c>
      <c r="B28" s="97" t="s">
        <v>1</v>
      </c>
      <c r="C28" s="38">
        <v>167800</v>
      </c>
      <c r="D28" s="38">
        <v>234000</v>
      </c>
      <c r="E28" s="38">
        <v>258200</v>
      </c>
      <c r="F28" s="38">
        <v>507700</v>
      </c>
      <c r="G28" s="38">
        <v>553557</v>
      </c>
      <c r="H28" s="38">
        <v>497000</v>
      </c>
      <c r="I28" s="38">
        <v>404428</v>
      </c>
      <c r="J28" s="38">
        <v>290505</v>
      </c>
      <c r="K28" s="38">
        <v>325389</v>
      </c>
      <c r="L28" s="38">
        <v>362137</v>
      </c>
      <c r="M28" s="38">
        <v>389600</v>
      </c>
      <c r="N28" s="38">
        <v>243800</v>
      </c>
      <c r="O28" s="38">
        <v>382400</v>
      </c>
      <c r="P28" s="38">
        <v>327400</v>
      </c>
      <c r="Q28" s="38">
        <v>323060</v>
      </c>
      <c r="R28" s="38">
        <v>447079</v>
      </c>
      <c r="S28" s="38">
        <v>377456</v>
      </c>
      <c r="T28" s="38">
        <v>346918</v>
      </c>
      <c r="U28" s="38">
        <v>251633</v>
      </c>
      <c r="V28" s="38">
        <v>382030</v>
      </c>
      <c r="W28" s="38">
        <v>295832</v>
      </c>
      <c r="X28" s="38">
        <v>304462</v>
      </c>
      <c r="Y28" s="61">
        <v>375855</v>
      </c>
      <c r="Z28" s="128">
        <v>338998</v>
      </c>
      <c r="AA28" s="195">
        <v>373783</v>
      </c>
      <c r="AB28" s="197">
        <v>381626</v>
      </c>
      <c r="AC28" s="197">
        <v>347975</v>
      </c>
      <c r="AD28" s="197">
        <v>381359</v>
      </c>
      <c r="AE28" s="197">
        <v>407800</v>
      </c>
      <c r="AF28" s="197">
        <v>383720</v>
      </c>
      <c r="AG28" s="197">
        <v>361570</v>
      </c>
      <c r="AH28" s="400"/>
      <c r="AI28" s="400"/>
      <c r="AJ28" s="400"/>
      <c r="AK28" s="400"/>
      <c r="AL28" s="430" t="s">
        <v>15</v>
      </c>
      <c r="AM28" s="97" t="s">
        <v>1</v>
      </c>
    </row>
    <row r="29" spans="1:62" x14ac:dyDescent="0.25">
      <c r="A29" s="429"/>
      <c r="B29" s="97" t="s">
        <v>2</v>
      </c>
      <c r="C29" s="85"/>
      <c r="D29" s="38">
        <v>234000</v>
      </c>
      <c r="E29" s="38">
        <v>258200</v>
      </c>
      <c r="F29" s="38">
        <v>507700</v>
      </c>
      <c r="G29" s="38">
        <v>553600</v>
      </c>
      <c r="H29" s="38">
        <v>496800</v>
      </c>
      <c r="I29" s="38">
        <v>404400</v>
      </c>
      <c r="J29" s="38">
        <v>290500</v>
      </c>
      <c r="K29" s="38">
        <v>333400</v>
      </c>
      <c r="L29" s="38">
        <v>362100</v>
      </c>
      <c r="M29" s="38">
        <v>389600</v>
      </c>
      <c r="N29" s="85"/>
      <c r="O29" s="85"/>
      <c r="P29" s="85"/>
      <c r="Q29" s="85"/>
      <c r="R29" s="85"/>
      <c r="S29" s="85"/>
      <c r="T29" s="85"/>
      <c r="U29" s="38">
        <f>251.63*1000</f>
        <v>251630</v>
      </c>
      <c r="V29" s="38">
        <f>382.03*1000</f>
        <v>382030</v>
      </c>
      <c r="W29" s="38">
        <f>295.83*1000</f>
        <v>295830</v>
      </c>
      <c r="X29" s="38">
        <f>304.46*1000</f>
        <v>304460</v>
      </c>
      <c r="Y29" s="46">
        <f>375.86*1000</f>
        <v>375860</v>
      </c>
      <c r="Z29" s="165">
        <f>339*1000</f>
        <v>339000</v>
      </c>
      <c r="AA29" s="165">
        <f>373.78*1000</f>
        <v>373780</v>
      </c>
      <c r="AB29" s="165">
        <f>381.63*1000</f>
        <v>381630</v>
      </c>
      <c r="AC29" s="165">
        <f>347.98*1000</f>
        <v>347980</v>
      </c>
      <c r="AD29" s="165">
        <f>381.36*1000</f>
        <v>381360</v>
      </c>
      <c r="AE29" s="165">
        <f>407.8*1000</f>
        <v>407800</v>
      </c>
      <c r="AF29" s="165">
        <v>383740</v>
      </c>
      <c r="AG29" s="165">
        <v>361570</v>
      </c>
      <c r="AH29" s="165">
        <v>196660</v>
      </c>
      <c r="AI29" s="165">
        <v>209845</v>
      </c>
      <c r="AJ29" s="165">
        <v>171600</v>
      </c>
      <c r="AK29" s="188"/>
      <c r="AL29" s="430"/>
      <c r="AM29" s="97" t="s">
        <v>2</v>
      </c>
    </row>
    <row r="30" spans="1:62" x14ac:dyDescent="0.25">
      <c r="A30" s="429"/>
      <c r="B30" s="97" t="s">
        <v>92</v>
      </c>
      <c r="C30" s="40">
        <v>167800</v>
      </c>
      <c r="D30" s="41">
        <v>234025</v>
      </c>
      <c r="E30" s="41">
        <v>258160</v>
      </c>
      <c r="F30" s="41">
        <v>507733</v>
      </c>
      <c r="G30" s="41">
        <v>553577</v>
      </c>
      <c r="H30" s="42">
        <v>496803</v>
      </c>
      <c r="I30" s="42">
        <v>404428</v>
      </c>
      <c r="J30" s="42">
        <v>290505</v>
      </c>
      <c r="K30" s="42">
        <v>325389</v>
      </c>
      <c r="L30" s="42">
        <v>362137</v>
      </c>
      <c r="M30" s="42">
        <v>389556</v>
      </c>
      <c r="N30" s="42">
        <v>243830</v>
      </c>
      <c r="O30" s="42">
        <v>382354</v>
      </c>
      <c r="P30" s="42">
        <v>327444</v>
      </c>
      <c r="Q30" s="42">
        <v>323060</v>
      </c>
      <c r="R30" s="42">
        <v>447079</v>
      </c>
      <c r="S30" s="42">
        <v>377456</v>
      </c>
      <c r="T30" s="42">
        <v>346918</v>
      </c>
      <c r="U30" s="42">
        <v>251633</v>
      </c>
      <c r="V30" s="42">
        <v>382030</v>
      </c>
      <c r="W30" s="42">
        <v>295832</v>
      </c>
      <c r="X30" s="42">
        <v>304462</v>
      </c>
      <c r="Y30" s="49">
        <v>375855</v>
      </c>
      <c r="Z30" s="128">
        <v>338998</v>
      </c>
      <c r="AA30" s="128">
        <v>373800</v>
      </c>
      <c r="AB30" s="128">
        <v>381600</v>
      </c>
      <c r="AC30" s="128">
        <v>344200</v>
      </c>
      <c r="AD30" s="128">
        <v>381359</v>
      </c>
      <c r="AE30" s="128">
        <v>407795</v>
      </c>
      <c r="AF30" s="128">
        <v>383722</v>
      </c>
      <c r="AG30" s="128">
        <v>361573</v>
      </c>
      <c r="AH30" s="128">
        <v>196659</v>
      </c>
      <c r="AI30" s="128">
        <v>209850</v>
      </c>
      <c r="AJ30" s="128">
        <v>171600</v>
      </c>
      <c r="AK30" s="128">
        <v>155202</v>
      </c>
      <c r="AL30" s="430"/>
      <c r="AM30" s="97" t="s">
        <v>92</v>
      </c>
    </row>
    <row r="31" spans="1:62" ht="19.5" customHeight="1" x14ac:dyDescent="0.25">
      <c r="A31" s="429"/>
      <c r="B31" s="98" t="s">
        <v>93</v>
      </c>
      <c r="C31" s="48">
        <f>C28-C30</f>
        <v>0</v>
      </c>
      <c r="D31" s="48">
        <f t="shared" ref="D31:Y31" si="15">D28-D30</f>
        <v>-25</v>
      </c>
      <c r="E31" s="48">
        <f t="shared" si="15"/>
        <v>40</v>
      </c>
      <c r="F31" s="48">
        <f t="shared" si="15"/>
        <v>-33</v>
      </c>
      <c r="G31" s="48">
        <f t="shared" si="15"/>
        <v>-20</v>
      </c>
      <c r="H31" s="48">
        <f t="shared" si="15"/>
        <v>197</v>
      </c>
      <c r="I31" s="48">
        <f t="shared" si="15"/>
        <v>0</v>
      </c>
      <c r="J31" s="48">
        <f t="shared" si="15"/>
        <v>0</v>
      </c>
      <c r="K31" s="48">
        <f t="shared" si="15"/>
        <v>0</v>
      </c>
      <c r="L31" s="48">
        <f t="shared" si="15"/>
        <v>0</v>
      </c>
      <c r="M31" s="48">
        <f t="shared" si="15"/>
        <v>44</v>
      </c>
      <c r="N31" s="48">
        <f t="shared" si="15"/>
        <v>-30</v>
      </c>
      <c r="O31" s="48">
        <f t="shared" si="15"/>
        <v>46</v>
      </c>
      <c r="P31" s="48">
        <f t="shared" si="15"/>
        <v>-44</v>
      </c>
      <c r="Q31" s="48">
        <f t="shared" si="15"/>
        <v>0</v>
      </c>
      <c r="R31" s="48">
        <f t="shared" si="15"/>
        <v>0</v>
      </c>
      <c r="S31" s="48">
        <f t="shared" si="15"/>
        <v>0</v>
      </c>
      <c r="T31" s="48">
        <f t="shared" si="15"/>
        <v>0</v>
      </c>
      <c r="U31" s="48">
        <f t="shared" si="15"/>
        <v>0</v>
      </c>
      <c r="V31" s="48">
        <f t="shared" si="15"/>
        <v>0</v>
      </c>
      <c r="W31" s="48">
        <f t="shared" si="15"/>
        <v>0</v>
      </c>
      <c r="X31" s="48">
        <f t="shared" si="15"/>
        <v>0</v>
      </c>
      <c r="Y31" s="48">
        <f t="shared" si="15"/>
        <v>0</v>
      </c>
      <c r="Z31" s="129">
        <f t="shared" ref="Z31:AK31" si="16">Z28-Z30</f>
        <v>0</v>
      </c>
      <c r="AA31" s="129">
        <f t="shared" si="16"/>
        <v>-17</v>
      </c>
      <c r="AB31" s="129">
        <f t="shared" si="16"/>
        <v>26</v>
      </c>
      <c r="AC31" s="129">
        <f t="shared" si="16"/>
        <v>3775</v>
      </c>
      <c r="AD31" s="129">
        <f t="shared" si="16"/>
        <v>0</v>
      </c>
      <c r="AE31" s="129">
        <f t="shared" si="16"/>
        <v>5</v>
      </c>
      <c r="AF31" s="129">
        <f t="shared" si="16"/>
        <v>-2</v>
      </c>
      <c r="AG31" s="129">
        <f t="shared" si="16"/>
        <v>-3</v>
      </c>
      <c r="AH31" s="129">
        <f t="shared" si="16"/>
        <v>-196659</v>
      </c>
      <c r="AI31" s="129">
        <f t="shared" si="16"/>
        <v>-209850</v>
      </c>
      <c r="AJ31" s="129">
        <f t="shared" si="16"/>
        <v>-171600</v>
      </c>
      <c r="AK31" s="129">
        <f t="shared" si="16"/>
        <v>-155202</v>
      </c>
      <c r="AL31" s="430"/>
      <c r="AM31" s="98" t="s">
        <v>93</v>
      </c>
    </row>
    <row r="32" spans="1:62" ht="17.25" customHeight="1" x14ac:dyDescent="0.25">
      <c r="A32" s="429"/>
      <c r="B32" s="98" t="s">
        <v>94</v>
      </c>
      <c r="C32" s="44">
        <f>C29-C30</f>
        <v>-167800</v>
      </c>
      <c r="D32" s="44">
        <f t="shared" ref="D32:Y32" si="17">D29-D30</f>
        <v>-25</v>
      </c>
      <c r="E32" s="44">
        <f t="shared" si="17"/>
        <v>40</v>
      </c>
      <c r="F32" s="44">
        <f t="shared" si="17"/>
        <v>-33</v>
      </c>
      <c r="G32" s="44">
        <f t="shared" si="17"/>
        <v>23</v>
      </c>
      <c r="H32" s="44">
        <f t="shared" si="17"/>
        <v>-3</v>
      </c>
      <c r="I32" s="44">
        <f t="shared" si="17"/>
        <v>-28</v>
      </c>
      <c r="J32" s="44">
        <f t="shared" si="17"/>
        <v>-5</v>
      </c>
      <c r="K32" s="44">
        <f t="shared" si="17"/>
        <v>8011</v>
      </c>
      <c r="L32" s="44">
        <f t="shared" si="17"/>
        <v>-37</v>
      </c>
      <c r="M32" s="44">
        <f t="shared" si="17"/>
        <v>44</v>
      </c>
      <c r="N32" s="44">
        <f t="shared" si="17"/>
        <v>-243830</v>
      </c>
      <c r="O32" s="44">
        <f t="shared" si="17"/>
        <v>-382354</v>
      </c>
      <c r="P32" s="44">
        <f t="shared" si="17"/>
        <v>-327444</v>
      </c>
      <c r="Q32" s="44">
        <f t="shared" si="17"/>
        <v>-323060</v>
      </c>
      <c r="R32" s="44">
        <f t="shared" si="17"/>
        <v>-447079</v>
      </c>
      <c r="S32" s="44">
        <f t="shared" si="17"/>
        <v>-377456</v>
      </c>
      <c r="T32" s="44">
        <f t="shared" si="17"/>
        <v>-346918</v>
      </c>
      <c r="U32" s="44">
        <f t="shared" si="17"/>
        <v>-3</v>
      </c>
      <c r="V32" s="44">
        <f t="shared" si="17"/>
        <v>0</v>
      </c>
      <c r="W32" s="44">
        <f t="shared" si="17"/>
        <v>-2</v>
      </c>
      <c r="X32" s="44">
        <f t="shared" si="17"/>
        <v>-2</v>
      </c>
      <c r="Y32" s="44">
        <f t="shared" si="17"/>
        <v>5</v>
      </c>
      <c r="Z32" s="129">
        <f t="shared" ref="Z32:AK32" si="18">Z29-Z30</f>
        <v>2</v>
      </c>
      <c r="AA32" s="129">
        <f t="shared" si="18"/>
        <v>-20</v>
      </c>
      <c r="AB32" s="129">
        <f t="shared" si="18"/>
        <v>30</v>
      </c>
      <c r="AC32" s="129">
        <f t="shared" si="18"/>
        <v>3780</v>
      </c>
      <c r="AD32" s="129">
        <f t="shared" si="18"/>
        <v>1</v>
      </c>
      <c r="AE32" s="129">
        <f t="shared" si="18"/>
        <v>5</v>
      </c>
      <c r="AF32" s="129">
        <f t="shared" si="18"/>
        <v>18</v>
      </c>
      <c r="AG32" s="129">
        <f t="shared" si="18"/>
        <v>-3</v>
      </c>
      <c r="AH32" s="129">
        <f t="shared" si="18"/>
        <v>1</v>
      </c>
      <c r="AI32" s="129">
        <f t="shared" si="18"/>
        <v>-5</v>
      </c>
      <c r="AJ32" s="129">
        <f t="shared" si="18"/>
        <v>0</v>
      </c>
      <c r="AK32" s="129">
        <f t="shared" si="18"/>
        <v>-155202</v>
      </c>
      <c r="AL32" s="430"/>
      <c r="AM32" s="98" t="s">
        <v>94</v>
      </c>
    </row>
    <row r="33" spans="1:60" x14ac:dyDescent="0.25">
      <c r="A33" s="156"/>
      <c r="B33" s="99"/>
      <c r="C33" s="137"/>
      <c r="D33" s="137"/>
      <c r="E33" s="137"/>
      <c r="F33" s="137"/>
      <c r="G33" s="137"/>
      <c r="H33" s="137"/>
      <c r="I33" s="137"/>
      <c r="J33" s="137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7"/>
      <c r="AF33" s="137"/>
      <c r="AG33" s="137"/>
      <c r="AH33" s="405">
        <f>(AH30*100)/AH29-100</f>
        <v>-5.0849181327805582E-4</v>
      </c>
      <c r="AI33" s="405">
        <f>(AI30*100)/AI29-100</f>
        <v>2.3827110486251968E-3</v>
      </c>
      <c r="AJ33" s="405">
        <f>(AJ30*100)/AJ29-100</f>
        <v>0</v>
      </c>
      <c r="AK33" s="405" t="e">
        <f>(AK30*100)/AK29-100</f>
        <v>#DIV/0!</v>
      </c>
      <c r="AL33" s="152"/>
      <c r="AM33" s="143"/>
      <c r="AN33" s="138"/>
      <c r="AO33" s="17"/>
      <c r="AP33" s="138"/>
      <c r="AQ33" s="17"/>
      <c r="AR33" s="138"/>
      <c r="AS33" s="17"/>
      <c r="AT33" s="138"/>
      <c r="AU33" s="17"/>
      <c r="AV33" s="138"/>
      <c r="AW33" s="17"/>
      <c r="AX33" s="138"/>
      <c r="AY33" s="17"/>
      <c r="AZ33" s="138"/>
      <c r="BA33" s="17"/>
      <c r="BB33" s="138"/>
      <c r="BC33" s="17"/>
      <c r="BD33" s="138"/>
      <c r="BE33" s="17"/>
      <c r="BF33" s="138"/>
      <c r="BG33" s="17"/>
      <c r="BH33" s="138"/>
    </row>
    <row r="34" spans="1:60" x14ac:dyDescent="0.25">
      <c r="A34" s="429" t="s">
        <v>16</v>
      </c>
      <c r="B34" s="97" t="s">
        <v>1</v>
      </c>
      <c r="C34" s="38">
        <v>6761800</v>
      </c>
      <c r="D34" s="38">
        <v>6809604</v>
      </c>
      <c r="E34" s="38">
        <v>10497338</v>
      </c>
      <c r="F34" s="38">
        <v>6828270</v>
      </c>
      <c r="G34" s="38">
        <v>7987450</v>
      </c>
      <c r="H34" s="38">
        <v>9343000</v>
      </c>
      <c r="I34" s="38">
        <v>9923132</v>
      </c>
      <c r="J34" s="38">
        <v>9607944</v>
      </c>
      <c r="K34" s="38">
        <v>12686700</v>
      </c>
      <c r="L34" s="38">
        <v>8623370</v>
      </c>
      <c r="M34" s="38">
        <v>10934800</v>
      </c>
      <c r="N34" s="38">
        <v>4897600</v>
      </c>
      <c r="O34" s="38">
        <v>9119200</v>
      </c>
      <c r="P34" s="38">
        <v>8399800</v>
      </c>
      <c r="Q34" s="38">
        <v>9576985</v>
      </c>
      <c r="R34" s="38">
        <v>14541564</v>
      </c>
      <c r="S34" s="38">
        <v>10388499</v>
      </c>
      <c r="T34" s="38">
        <v>8984729</v>
      </c>
      <c r="U34" s="38">
        <v>3853920</v>
      </c>
      <c r="V34" s="38">
        <v>7849080</v>
      </c>
      <c r="W34" s="38">
        <v>7973258</v>
      </c>
      <c r="X34" s="38">
        <v>9042032</v>
      </c>
      <c r="Y34" s="61">
        <v>11717591</v>
      </c>
      <c r="Z34" s="128">
        <v>5953352</v>
      </c>
      <c r="AA34" s="128">
        <v>11347633</v>
      </c>
      <c r="AB34" s="165">
        <v>11988553</v>
      </c>
      <c r="AC34" s="165">
        <v>9021403</v>
      </c>
      <c r="AD34" s="165">
        <v>10746387</v>
      </c>
      <c r="AE34" s="165">
        <v>14326100</v>
      </c>
      <c r="AF34" s="387">
        <v>18663940</v>
      </c>
      <c r="AG34" s="165">
        <v>17432220</v>
      </c>
      <c r="AH34" s="188"/>
      <c r="AI34" s="188"/>
      <c r="AJ34" s="188"/>
      <c r="AK34" s="188"/>
      <c r="AL34" s="430" t="s">
        <v>16</v>
      </c>
      <c r="AM34" s="97" t="s">
        <v>1</v>
      </c>
    </row>
    <row r="35" spans="1:60" x14ac:dyDescent="0.25">
      <c r="A35" s="429"/>
      <c r="B35" s="97" t="s">
        <v>2</v>
      </c>
      <c r="C35" s="85"/>
      <c r="D35" s="38">
        <v>6549500</v>
      </c>
      <c r="E35" s="38">
        <v>4930000</v>
      </c>
      <c r="F35" s="38">
        <v>2827200</v>
      </c>
      <c r="G35" s="38">
        <v>2842500</v>
      </c>
      <c r="H35" s="38">
        <v>2193500</v>
      </c>
      <c r="I35" s="38">
        <v>1771800</v>
      </c>
      <c r="J35" s="38">
        <v>1978800</v>
      </c>
      <c r="K35" s="38">
        <v>1534900</v>
      </c>
      <c r="L35" s="38">
        <v>1095400</v>
      </c>
      <c r="M35" s="38">
        <v>974200</v>
      </c>
      <c r="N35" s="85"/>
      <c r="O35" s="85"/>
      <c r="P35" s="85"/>
      <c r="Q35" s="85"/>
      <c r="R35" s="85"/>
      <c r="S35" s="85"/>
      <c r="T35" s="85"/>
      <c r="U35" s="38">
        <f>3853.92*1000</f>
        <v>3853920</v>
      </c>
      <c r="V35" s="38">
        <f>7849.08*1000</f>
        <v>7849080</v>
      </c>
      <c r="W35" s="38">
        <f>7973.26*1000</f>
        <v>7973260</v>
      </c>
      <c r="X35" s="38">
        <f>9042.03*1000</f>
        <v>9042030</v>
      </c>
      <c r="Y35" s="46">
        <f>11717.59*1000</f>
        <v>11717590</v>
      </c>
      <c r="Z35" s="165">
        <f>5953.35*1000</f>
        <v>5953350</v>
      </c>
      <c r="AA35" s="165">
        <f>11305.1*1000</f>
        <v>11305100</v>
      </c>
      <c r="AB35" s="165">
        <f>11988.55*1000</f>
        <v>11988550</v>
      </c>
      <c r="AC35" s="165">
        <f>9021.4*1000</f>
        <v>9021400</v>
      </c>
      <c r="AD35" s="165">
        <f>10746*1000</f>
        <v>10746000</v>
      </c>
      <c r="AE35" s="165">
        <f>14326.1*1000</f>
        <v>14326100</v>
      </c>
      <c r="AF35" s="165">
        <v>18663940</v>
      </c>
      <c r="AG35" s="165">
        <v>17432220</v>
      </c>
      <c r="AH35" s="165">
        <v>10342350</v>
      </c>
      <c r="AI35" s="165">
        <v>14820690</v>
      </c>
      <c r="AJ35" s="165">
        <v>8037130</v>
      </c>
      <c r="AK35" s="188"/>
      <c r="AL35" s="430"/>
      <c r="AM35" s="97" t="s">
        <v>2</v>
      </c>
    </row>
    <row r="36" spans="1:60" x14ac:dyDescent="0.25">
      <c r="A36" s="429"/>
      <c r="B36" s="97" t="s">
        <v>92</v>
      </c>
      <c r="C36" s="86">
        <v>6761800</v>
      </c>
      <c r="D36" s="87">
        <v>6809604</v>
      </c>
      <c r="E36" s="87">
        <v>10497338</v>
      </c>
      <c r="F36" s="87">
        <v>6828270</v>
      </c>
      <c r="G36" s="87">
        <v>7987450</v>
      </c>
      <c r="H36" s="45">
        <v>9343224</v>
      </c>
      <c r="I36" s="45">
        <v>9923132</v>
      </c>
      <c r="J36" s="45">
        <v>9607944</v>
      </c>
      <c r="K36" s="45">
        <v>12686700</v>
      </c>
      <c r="L36" s="45">
        <v>8623370</v>
      </c>
      <c r="M36" s="45">
        <v>10934815</v>
      </c>
      <c r="N36" s="45">
        <v>4897603</v>
      </c>
      <c r="O36" s="45">
        <v>9119194</v>
      </c>
      <c r="P36" s="45">
        <v>8399779</v>
      </c>
      <c r="Q36" s="45">
        <v>9576985</v>
      </c>
      <c r="R36" s="45">
        <v>14541564</v>
      </c>
      <c r="S36" s="45">
        <v>10388499</v>
      </c>
      <c r="T36" s="45">
        <v>8984729</v>
      </c>
      <c r="U36" s="45">
        <v>3853918</v>
      </c>
      <c r="V36" s="45">
        <v>7849083</v>
      </c>
      <c r="W36" s="45">
        <v>7973258</v>
      </c>
      <c r="X36" s="45">
        <v>9042032</v>
      </c>
      <c r="Y36" s="49">
        <v>11717591</v>
      </c>
      <c r="Z36" s="128">
        <v>5953352</v>
      </c>
      <c r="AA36" s="128">
        <v>11305100</v>
      </c>
      <c r="AB36" s="128">
        <v>11988600</v>
      </c>
      <c r="AC36" s="128">
        <v>8984700</v>
      </c>
      <c r="AD36" s="128">
        <v>10746387</v>
      </c>
      <c r="AE36" s="128">
        <v>14326097</v>
      </c>
      <c r="AF36" s="128">
        <v>18663939</v>
      </c>
      <c r="AG36" s="128">
        <v>17432223</v>
      </c>
      <c r="AH36" s="128">
        <v>10942348</v>
      </c>
      <c r="AI36" s="128">
        <v>14820693</v>
      </c>
      <c r="AJ36" s="128">
        <v>8037100</v>
      </c>
      <c r="AK36" s="128">
        <v>8743995</v>
      </c>
      <c r="AL36" s="430"/>
      <c r="AM36" s="97" t="s">
        <v>92</v>
      </c>
    </row>
    <row r="37" spans="1:60" ht="20.25" customHeight="1" x14ac:dyDescent="0.25">
      <c r="A37" s="429"/>
      <c r="B37" s="98" t="s">
        <v>93</v>
      </c>
      <c r="C37" s="48">
        <f>C34-C36</f>
        <v>0</v>
      </c>
      <c r="D37" s="48">
        <f t="shared" ref="D37:Y37" si="19">D34-D36</f>
        <v>0</v>
      </c>
      <c r="E37" s="48">
        <f t="shared" si="19"/>
        <v>0</v>
      </c>
      <c r="F37" s="48">
        <f t="shared" si="19"/>
        <v>0</v>
      </c>
      <c r="G37" s="48">
        <f t="shared" si="19"/>
        <v>0</v>
      </c>
      <c r="H37" s="48">
        <f t="shared" si="19"/>
        <v>-224</v>
      </c>
      <c r="I37" s="48">
        <f t="shared" si="19"/>
        <v>0</v>
      </c>
      <c r="J37" s="48">
        <f t="shared" si="19"/>
        <v>0</v>
      </c>
      <c r="K37" s="48">
        <f t="shared" si="19"/>
        <v>0</v>
      </c>
      <c r="L37" s="48">
        <f t="shared" si="19"/>
        <v>0</v>
      </c>
      <c r="M37" s="48">
        <f t="shared" si="19"/>
        <v>-15</v>
      </c>
      <c r="N37" s="48">
        <f t="shared" si="19"/>
        <v>-3</v>
      </c>
      <c r="O37" s="48">
        <f t="shared" si="19"/>
        <v>6</v>
      </c>
      <c r="P37" s="48">
        <f t="shared" si="19"/>
        <v>21</v>
      </c>
      <c r="Q37" s="48">
        <f t="shared" si="19"/>
        <v>0</v>
      </c>
      <c r="R37" s="48">
        <f t="shared" si="19"/>
        <v>0</v>
      </c>
      <c r="S37" s="48">
        <f t="shared" si="19"/>
        <v>0</v>
      </c>
      <c r="T37" s="48">
        <f t="shared" si="19"/>
        <v>0</v>
      </c>
      <c r="U37" s="48">
        <f t="shared" si="19"/>
        <v>2</v>
      </c>
      <c r="V37" s="48">
        <f t="shared" si="19"/>
        <v>-3</v>
      </c>
      <c r="W37" s="48">
        <f t="shared" si="19"/>
        <v>0</v>
      </c>
      <c r="X37" s="48">
        <f t="shared" si="19"/>
        <v>0</v>
      </c>
      <c r="Y37" s="48">
        <f t="shared" si="19"/>
        <v>0</v>
      </c>
      <c r="Z37" s="129">
        <f t="shared" ref="Z37:AK37" si="20">Z34-Z36</f>
        <v>0</v>
      </c>
      <c r="AA37" s="129">
        <f t="shared" si="20"/>
        <v>42533</v>
      </c>
      <c r="AB37" s="129">
        <f t="shared" si="20"/>
        <v>-47</v>
      </c>
      <c r="AC37" s="129">
        <f t="shared" si="20"/>
        <v>36703</v>
      </c>
      <c r="AD37" s="129">
        <f t="shared" si="20"/>
        <v>0</v>
      </c>
      <c r="AE37" s="129">
        <f t="shared" si="20"/>
        <v>3</v>
      </c>
      <c r="AF37" s="129">
        <f t="shared" si="20"/>
        <v>1</v>
      </c>
      <c r="AG37" s="129">
        <f t="shared" si="20"/>
        <v>-3</v>
      </c>
      <c r="AH37" s="129">
        <f t="shared" si="20"/>
        <v>-10942348</v>
      </c>
      <c r="AI37" s="129">
        <f t="shared" si="20"/>
        <v>-14820693</v>
      </c>
      <c r="AJ37" s="129">
        <f t="shared" si="20"/>
        <v>-8037100</v>
      </c>
      <c r="AK37" s="129">
        <f t="shared" si="20"/>
        <v>-8743995</v>
      </c>
      <c r="AL37" s="430"/>
      <c r="AM37" s="98" t="s">
        <v>93</v>
      </c>
    </row>
    <row r="38" spans="1:60" ht="20.25" customHeight="1" x14ac:dyDescent="0.25">
      <c r="A38" s="429"/>
      <c r="B38" s="98" t="s">
        <v>94</v>
      </c>
      <c r="C38" s="44">
        <f>C35-C36</f>
        <v>-6761800</v>
      </c>
      <c r="D38" s="44">
        <f t="shared" ref="D38:Y38" si="21">D35-D36</f>
        <v>-260104</v>
      </c>
      <c r="E38" s="44">
        <f t="shared" si="21"/>
        <v>-5567338</v>
      </c>
      <c r="F38" s="44">
        <f t="shared" si="21"/>
        <v>-4001070</v>
      </c>
      <c r="G38" s="44">
        <f t="shared" si="21"/>
        <v>-5144950</v>
      </c>
      <c r="H38" s="44">
        <f t="shared" si="21"/>
        <v>-7149724</v>
      </c>
      <c r="I38" s="44">
        <f t="shared" si="21"/>
        <v>-8151332</v>
      </c>
      <c r="J38" s="44">
        <f t="shared" si="21"/>
        <v>-7629144</v>
      </c>
      <c r="K38" s="44">
        <f t="shared" si="21"/>
        <v>-11151800</v>
      </c>
      <c r="L38" s="44">
        <f t="shared" si="21"/>
        <v>-7527970</v>
      </c>
      <c r="M38" s="44">
        <f t="shared" si="21"/>
        <v>-9960615</v>
      </c>
      <c r="N38" s="44">
        <f t="shared" si="21"/>
        <v>-4897603</v>
      </c>
      <c r="O38" s="44">
        <f t="shared" si="21"/>
        <v>-9119194</v>
      </c>
      <c r="P38" s="44">
        <f t="shared" si="21"/>
        <v>-8399779</v>
      </c>
      <c r="Q38" s="44">
        <f t="shared" si="21"/>
        <v>-9576985</v>
      </c>
      <c r="R38" s="44">
        <f t="shared" si="21"/>
        <v>-14541564</v>
      </c>
      <c r="S38" s="44">
        <f t="shared" si="21"/>
        <v>-10388499</v>
      </c>
      <c r="T38" s="44">
        <f t="shared" si="21"/>
        <v>-8984729</v>
      </c>
      <c r="U38" s="44">
        <f t="shared" si="21"/>
        <v>2</v>
      </c>
      <c r="V38" s="44">
        <f t="shared" si="21"/>
        <v>-3</v>
      </c>
      <c r="W38" s="44">
        <f t="shared" si="21"/>
        <v>2</v>
      </c>
      <c r="X38" s="44">
        <f t="shared" si="21"/>
        <v>-2</v>
      </c>
      <c r="Y38" s="44">
        <f t="shared" si="21"/>
        <v>-1</v>
      </c>
      <c r="Z38" s="129">
        <f t="shared" ref="Z38:AK38" si="22">Z35-Z36</f>
        <v>-2</v>
      </c>
      <c r="AA38" s="129">
        <f t="shared" si="22"/>
        <v>0</v>
      </c>
      <c r="AB38" s="129">
        <f t="shared" si="22"/>
        <v>-50</v>
      </c>
      <c r="AC38" s="129">
        <f t="shared" si="22"/>
        <v>36700</v>
      </c>
      <c r="AD38" s="129">
        <f t="shared" si="22"/>
        <v>-387</v>
      </c>
      <c r="AE38" s="129">
        <f t="shared" si="22"/>
        <v>3</v>
      </c>
      <c r="AF38" s="129">
        <f t="shared" si="22"/>
        <v>1</v>
      </c>
      <c r="AG38" s="129">
        <f t="shared" si="22"/>
        <v>-3</v>
      </c>
      <c r="AH38" s="129">
        <f t="shared" si="22"/>
        <v>-599998</v>
      </c>
      <c r="AI38" s="129">
        <f t="shared" si="22"/>
        <v>-3</v>
      </c>
      <c r="AJ38" s="129">
        <f t="shared" si="22"/>
        <v>30</v>
      </c>
      <c r="AK38" s="129">
        <f t="shared" si="22"/>
        <v>-8743995</v>
      </c>
      <c r="AL38" s="430"/>
      <c r="AM38" s="98" t="s">
        <v>94</v>
      </c>
    </row>
    <row r="39" spans="1:60" x14ac:dyDescent="0.25">
      <c r="A39" s="159"/>
      <c r="B39" s="99"/>
      <c r="C39" s="137"/>
      <c r="D39" s="138"/>
      <c r="E39" s="137"/>
      <c r="F39" s="138"/>
      <c r="G39" s="137"/>
      <c r="H39" s="138"/>
      <c r="I39" s="137"/>
      <c r="J39" s="138"/>
      <c r="K39" s="137"/>
      <c r="L39" s="138"/>
      <c r="M39" s="137"/>
      <c r="N39" s="138"/>
      <c r="O39" s="137"/>
      <c r="P39" s="138"/>
      <c r="Q39" s="137"/>
      <c r="R39" s="137"/>
      <c r="S39" s="138"/>
      <c r="T39" s="137"/>
      <c r="U39" s="138"/>
      <c r="V39" s="137"/>
      <c r="W39" s="138"/>
      <c r="X39" s="137"/>
      <c r="Y39" s="138"/>
      <c r="Z39" s="145"/>
      <c r="AA39" s="138"/>
      <c r="AB39" s="138"/>
      <c r="AC39" s="138"/>
      <c r="AD39" s="138"/>
      <c r="AE39" s="138"/>
      <c r="AF39" s="138"/>
      <c r="AG39" s="138"/>
      <c r="AH39" s="406">
        <f>(AH36*100)/AH35-100</f>
        <v>5.8013700948043692</v>
      </c>
      <c r="AI39" s="406">
        <f>(AI36*100)/AI35-100</f>
        <v>2.0241972535472996E-5</v>
      </c>
      <c r="AJ39" s="406">
        <f>(AJ36*100)/AJ35-100</f>
        <v>-3.7326757188793636E-4</v>
      </c>
      <c r="AK39" s="406" t="e">
        <f>(AK36*100)/AK35-100</f>
        <v>#DIV/0!</v>
      </c>
      <c r="AL39" s="405"/>
      <c r="AM39" s="138"/>
      <c r="AN39" s="137"/>
      <c r="AO39" s="138"/>
      <c r="AP39" s="137"/>
      <c r="AQ39" s="138"/>
      <c r="AR39" s="137"/>
      <c r="AS39" s="138"/>
      <c r="AT39" s="137"/>
    </row>
    <row r="40" spans="1:60" x14ac:dyDescent="0.25">
      <c r="A40" s="429" t="s">
        <v>17</v>
      </c>
      <c r="B40" s="97" t="s">
        <v>1</v>
      </c>
      <c r="C40" s="38">
        <v>7600</v>
      </c>
      <c r="D40" s="38">
        <v>3500</v>
      </c>
      <c r="E40" s="38">
        <v>6000</v>
      </c>
      <c r="F40" s="38">
        <v>4500</v>
      </c>
      <c r="G40" s="38">
        <v>5500</v>
      </c>
      <c r="H40" s="38">
        <v>7128</v>
      </c>
      <c r="I40" s="38">
        <v>4408</v>
      </c>
      <c r="J40" s="38">
        <v>4295</v>
      </c>
      <c r="K40" s="38">
        <v>4717</v>
      </c>
      <c r="L40" s="38">
        <v>11400</v>
      </c>
      <c r="M40" s="38">
        <v>2500</v>
      </c>
      <c r="N40" s="38">
        <v>1500</v>
      </c>
      <c r="O40" s="38">
        <v>5600</v>
      </c>
      <c r="P40" s="38">
        <v>2557</v>
      </c>
      <c r="Q40" s="38">
        <v>4991</v>
      </c>
      <c r="R40" s="38">
        <v>28400</v>
      </c>
      <c r="S40" s="38">
        <v>1912</v>
      </c>
      <c r="T40" s="38">
        <v>1331</v>
      </c>
      <c r="U40" s="38">
        <v>1193</v>
      </c>
      <c r="V40" s="38">
        <v>20899</v>
      </c>
      <c r="W40" s="38">
        <v>14440</v>
      </c>
      <c r="X40" s="38">
        <v>18677</v>
      </c>
      <c r="Y40" s="61">
        <v>39696</v>
      </c>
      <c r="Z40" s="146">
        <v>37481</v>
      </c>
      <c r="AA40" s="128">
        <v>49829</v>
      </c>
      <c r="AB40" s="165">
        <v>51543</v>
      </c>
      <c r="AC40" s="165">
        <v>31728</v>
      </c>
      <c r="AD40" s="165">
        <v>24413</v>
      </c>
      <c r="AE40" s="165">
        <v>54280</v>
      </c>
      <c r="AF40" s="165">
        <v>76310</v>
      </c>
      <c r="AG40" s="165">
        <v>60010</v>
      </c>
      <c r="AH40" s="165">
        <v>37226</v>
      </c>
      <c r="AI40" s="165">
        <v>45918</v>
      </c>
      <c r="AJ40" s="409"/>
      <c r="AK40" s="409"/>
      <c r="AL40" s="430" t="s">
        <v>17</v>
      </c>
      <c r="AM40" s="97" t="s">
        <v>1</v>
      </c>
    </row>
    <row r="41" spans="1:60" x14ac:dyDescent="0.25">
      <c r="A41" s="437"/>
      <c r="B41" s="97" t="s">
        <v>2</v>
      </c>
      <c r="C41" s="85"/>
      <c r="D41" s="38">
        <v>3500</v>
      </c>
      <c r="E41" s="38">
        <v>6000</v>
      </c>
      <c r="F41" s="38">
        <v>4500</v>
      </c>
      <c r="G41" s="38">
        <v>5500</v>
      </c>
      <c r="H41" s="38">
        <v>7100</v>
      </c>
      <c r="I41" s="38">
        <v>4400</v>
      </c>
      <c r="J41" s="38">
        <v>4300</v>
      </c>
      <c r="K41" s="38">
        <v>4800</v>
      </c>
      <c r="L41" s="38">
        <v>11400</v>
      </c>
      <c r="M41" s="38">
        <v>2600</v>
      </c>
      <c r="N41" s="85"/>
      <c r="O41" s="85"/>
      <c r="P41" s="38">
        <v>2560</v>
      </c>
      <c r="Q41" s="38">
        <v>4990</v>
      </c>
      <c r="R41" s="38">
        <v>28370</v>
      </c>
      <c r="S41" s="38">
        <v>1910</v>
      </c>
      <c r="T41" s="38">
        <v>1330</v>
      </c>
      <c r="U41" s="38">
        <v>1190</v>
      </c>
      <c r="V41" s="38">
        <v>20900</v>
      </c>
      <c r="W41" s="38">
        <v>14440</v>
      </c>
      <c r="X41" s="38">
        <v>18680</v>
      </c>
      <c r="Y41" s="46">
        <v>39700</v>
      </c>
      <c r="Z41" s="196">
        <v>37480</v>
      </c>
      <c r="AA41" s="165">
        <v>49830</v>
      </c>
      <c r="AB41" s="165">
        <v>51540</v>
      </c>
      <c r="AC41" s="165">
        <v>31730</v>
      </c>
      <c r="AD41" s="165">
        <v>24410</v>
      </c>
      <c r="AE41" s="165">
        <v>54280</v>
      </c>
      <c r="AF41" s="165">
        <v>76310</v>
      </c>
      <c r="AG41" s="165">
        <v>60010</v>
      </c>
      <c r="AH41" s="165">
        <v>35400</v>
      </c>
      <c r="AI41" s="165">
        <v>33750</v>
      </c>
      <c r="AJ41" s="165">
        <v>14830</v>
      </c>
      <c r="AK41" s="188"/>
      <c r="AL41" s="438"/>
      <c r="AM41" s="97" t="s">
        <v>2</v>
      </c>
    </row>
    <row r="42" spans="1:60" x14ac:dyDescent="0.25">
      <c r="A42" s="437"/>
      <c r="B42" s="97" t="s">
        <v>92</v>
      </c>
      <c r="C42" s="40">
        <v>7600</v>
      </c>
      <c r="D42" s="41">
        <v>3500</v>
      </c>
      <c r="E42" s="41">
        <v>6004</v>
      </c>
      <c r="F42" s="41">
        <v>4532</v>
      </c>
      <c r="G42" s="41">
        <v>5481</v>
      </c>
      <c r="H42" s="42">
        <v>7128</v>
      </c>
      <c r="I42" s="42">
        <v>4408</v>
      </c>
      <c r="J42" s="42">
        <v>4295</v>
      </c>
      <c r="K42" s="42">
        <v>4776</v>
      </c>
      <c r="L42" s="42">
        <v>11369</v>
      </c>
      <c r="M42" s="42">
        <v>2535</v>
      </c>
      <c r="N42" s="42">
        <v>1479</v>
      </c>
      <c r="O42" s="42">
        <v>5584</v>
      </c>
      <c r="P42" s="42">
        <v>2557</v>
      </c>
      <c r="Q42" s="42">
        <v>4991</v>
      </c>
      <c r="R42" s="42">
        <v>28374</v>
      </c>
      <c r="S42" s="42">
        <v>1912</v>
      </c>
      <c r="T42" s="42">
        <v>1331</v>
      </c>
      <c r="U42" s="42">
        <v>1193</v>
      </c>
      <c r="V42" s="42">
        <v>20899</v>
      </c>
      <c r="W42" s="42">
        <v>14440</v>
      </c>
      <c r="X42" s="42">
        <v>18677</v>
      </c>
      <c r="Y42" s="49">
        <v>39696</v>
      </c>
      <c r="Z42" s="146">
        <v>37481</v>
      </c>
      <c r="AA42" s="128">
        <v>49800</v>
      </c>
      <c r="AB42" s="128">
        <v>51500</v>
      </c>
      <c r="AC42" s="128">
        <v>31700</v>
      </c>
      <c r="AD42" s="128">
        <v>24413</v>
      </c>
      <c r="AE42" s="128">
        <v>54282</v>
      </c>
      <c r="AF42" s="128">
        <v>76309</v>
      </c>
      <c r="AG42" s="128">
        <v>60010</v>
      </c>
      <c r="AH42" s="128">
        <v>35399</v>
      </c>
      <c r="AI42" s="128">
        <v>33753</v>
      </c>
      <c r="AJ42" s="128">
        <v>14800</v>
      </c>
      <c r="AK42" s="128">
        <v>20777</v>
      </c>
      <c r="AL42" s="438"/>
      <c r="AM42" s="97" t="s">
        <v>92</v>
      </c>
    </row>
    <row r="43" spans="1:60" ht="19.5" customHeight="1" x14ac:dyDescent="0.25">
      <c r="A43" s="437"/>
      <c r="B43" s="98" t="s">
        <v>93</v>
      </c>
      <c r="C43" s="48">
        <f>C40-C42</f>
        <v>0</v>
      </c>
      <c r="D43" s="48">
        <f t="shared" ref="D43:Y43" si="23">D40-D42</f>
        <v>0</v>
      </c>
      <c r="E43" s="48">
        <f t="shared" si="23"/>
        <v>-4</v>
      </c>
      <c r="F43" s="48">
        <f t="shared" si="23"/>
        <v>-32</v>
      </c>
      <c r="G43" s="48">
        <f t="shared" si="23"/>
        <v>19</v>
      </c>
      <c r="H43" s="48">
        <f t="shared" si="23"/>
        <v>0</v>
      </c>
      <c r="I43" s="48">
        <f t="shared" si="23"/>
        <v>0</v>
      </c>
      <c r="J43" s="48">
        <f t="shared" si="23"/>
        <v>0</v>
      </c>
      <c r="K43" s="48">
        <f t="shared" si="23"/>
        <v>-59</v>
      </c>
      <c r="L43" s="48">
        <f t="shared" si="23"/>
        <v>31</v>
      </c>
      <c r="M43" s="48">
        <f t="shared" si="23"/>
        <v>-35</v>
      </c>
      <c r="N43" s="48">
        <f t="shared" si="23"/>
        <v>21</v>
      </c>
      <c r="O43" s="48">
        <f t="shared" si="23"/>
        <v>16</v>
      </c>
      <c r="P43" s="48">
        <f t="shared" si="23"/>
        <v>0</v>
      </c>
      <c r="Q43" s="48">
        <f t="shared" si="23"/>
        <v>0</v>
      </c>
      <c r="R43" s="48">
        <f t="shared" si="23"/>
        <v>26</v>
      </c>
      <c r="S43" s="48">
        <f t="shared" si="23"/>
        <v>0</v>
      </c>
      <c r="T43" s="48">
        <f t="shared" si="23"/>
        <v>0</v>
      </c>
      <c r="U43" s="48">
        <f t="shared" si="23"/>
        <v>0</v>
      </c>
      <c r="V43" s="48">
        <f t="shared" si="23"/>
        <v>0</v>
      </c>
      <c r="W43" s="48">
        <f t="shared" si="23"/>
        <v>0</v>
      </c>
      <c r="X43" s="48">
        <f t="shared" si="23"/>
        <v>0</v>
      </c>
      <c r="Y43" s="48">
        <f t="shared" si="23"/>
        <v>0</v>
      </c>
      <c r="Z43" s="129">
        <f t="shared" ref="Z43:AK43" si="24">Z40-Z42</f>
        <v>0</v>
      </c>
      <c r="AA43" s="129">
        <f t="shared" si="24"/>
        <v>29</v>
      </c>
      <c r="AB43" s="129">
        <f t="shared" si="24"/>
        <v>43</v>
      </c>
      <c r="AC43" s="129">
        <f t="shared" si="24"/>
        <v>28</v>
      </c>
      <c r="AD43" s="129">
        <f t="shared" si="24"/>
        <v>0</v>
      </c>
      <c r="AE43" s="129">
        <f t="shared" si="24"/>
        <v>-2</v>
      </c>
      <c r="AF43" s="129">
        <f t="shared" si="24"/>
        <v>1</v>
      </c>
      <c r="AG43" s="129">
        <f t="shared" si="24"/>
        <v>0</v>
      </c>
      <c r="AH43" s="129">
        <f t="shared" si="24"/>
        <v>1827</v>
      </c>
      <c r="AI43" s="129">
        <f t="shared" si="24"/>
        <v>12165</v>
      </c>
      <c r="AJ43" s="129">
        <f t="shared" si="24"/>
        <v>-14800</v>
      </c>
      <c r="AK43" s="129">
        <f t="shared" si="24"/>
        <v>-20777</v>
      </c>
      <c r="AL43" s="438"/>
      <c r="AM43" s="98" t="s">
        <v>93</v>
      </c>
    </row>
    <row r="44" spans="1:60" ht="18.75" customHeight="1" x14ac:dyDescent="0.25">
      <c r="A44" s="437"/>
      <c r="B44" s="98" t="s">
        <v>94</v>
      </c>
      <c r="C44" s="44">
        <f>C41-C42</f>
        <v>-7600</v>
      </c>
      <c r="D44" s="44">
        <f t="shared" ref="D44:Y44" si="25">D41-D42</f>
        <v>0</v>
      </c>
      <c r="E44" s="44">
        <f t="shared" si="25"/>
        <v>-4</v>
      </c>
      <c r="F44" s="44">
        <f t="shared" si="25"/>
        <v>-32</v>
      </c>
      <c r="G44" s="44">
        <f t="shared" si="25"/>
        <v>19</v>
      </c>
      <c r="H44" s="44">
        <f t="shared" si="25"/>
        <v>-28</v>
      </c>
      <c r="I44" s="44">
        <f t="shared" si="25"/>
        <v>-8</v>
      </c>
      <c r="J44" s="44">
        <f t="shared" si="25"/>
        <v>5</v>
      </c>
      <c r="K44" s="44">
        <f t="shared" si="25"/>
        <v>24</v>
      </c>
      <c r="L44" s="44">
        <f t="shared" si="25"/>
        <v>31</v>
      </c>
      <c r="M44" s="44">
        <f t="shared" si="25"/>
        <v>65</v>
      </c>
      <c r="N44" s="44">
        <f t="shared" si="25"/>
        <v>-1479</v>
      </c>
      <c r="O44" s="44">
        <f t="shared" si="25"/>
        <v>-5584</v>
      </c>
      <c r="P44" s="44">
        <f t="shared" si="25"/>
        <v>3</v>
      </c>
      <c r="Q44" s="44">
        <f t="shared" si="25"/>
        <v>-1</v>
      </c>
      <c r="R44" s="44">
        <f t="shared" si="25"/>
        <v>-4</v>
      </c>
      <c r="S44" s="44">
        <f t="shared" si="25"/>
        <v>-2</v>
      </c>
      <c r="T44" s="44">
        <f t="shared" si="25"/>
        <v>-1</v>
      </c>
      <c r="U44" s="44">
        <f t="shared" si="25"/>
        <v>-3</v>
      </c>
      <c r="V44" s="44">
        <f t="shared" si="25"/>
        <v>1</v>
      </c>
      <c r="W44" s="44">
        <f t="shared" si="25"/>
        <v>0</v>
      </c>
      <c r="X44" s="44">
        <f t="shared" si="25"/>
        <v>3</v>
      </c>
      <c r="Y44" s="44">
        <f t="shared" si="25"/>
        <v>4</v>
      </c>
      <c r="Z44" s="129">
        <f t="shared" ref="Z44:AK44" si="26">Z41-Z42</f>
        <v>-1</v>
      </c>
      <c r="AA44" s="129">
        <f t="shared" si="26"/>
        <v>30</v>
      </c>
      <c r="AB44" s="129">
        <f t="shared" si="26"/>
        <v>40</v>
      </c>
      <c r="AC44" s="129">
        <f t="shared" si="26"/>
        <v>30</v>
      </c>
      <c r="AD44" s="129">
        <f t="shared" si="26"/>
        <v>-3</v>
      </c>
      <c r="AE44" s="129">
        <f t="shared" si="26"/>
        <v>-2</v>
      </c>
      <c r="AF44" s="129">
        <f t="shared" si="26"/>
        <v>1</v>
      </c>
      <c r="AG44" s="129">
        <f t="shared" si="26"/>
        <v>0</v>
      </c>
      <c r="AH44" s="129">
        <f t="shared" si="26"/>
        <v>1</v>
      </c>
      <c r="AI44" s="129">
        <f t="shared" si="26"/>
        <v>-3</v>
      </c>
      <c r="AJ44" s="129">
        <f t="shared" si="26"/>
        <v>30</v>
      </c>
      <c r="AK44" s="129">
        <f t="shared" si="26"/>
        <v>-20777</v>
      </c>
      <c r="AL44" s="438"/>
      <c r="AM44" s="98" t="s">
        <v>94</v>
      </c>
    </row>
    <row r="45" spans="1:60" x14ac:dyDescent="0.25">
      <c r="A45" s="159"/>
      <c r="B45" s="99"/>
      <c r="C45" s="137"/>
      <c r="D45" s="137"/>
      <c r="E45" s="137"/>
      <c r="F45" s="138"/>
      <c r="G45" s="143"/>
      <c r="H45" s="138"/>
      <c r="I45" s="137"/>
      <c r="J45" s="138"/>
      <c r="K45" s="137"/>
      <c r="L45" s="138"/>
      <c r="M45" s="137"/>
      <c r="N45" s="138"/>
      <c r="O45" s="137"/>
      <c r="P45" s="138"/>
      <c r="Q45" s="137"/>
      <c r="R45" s="137"/>
      <c r="S45" s="138"/>
      <c r="T45" s="137"/>
      <c r="U45" s="138"/>
      <c r="V45" s="137"/>
      <c r="W45" s="138"/>
      <c r="X45" s="137"/>
      <c r="Y45" s="138"/>
      <c r="Z45" s="137"/>
      <c r="AA45" s="138"/>
      <c r="AB45" s="138"/>
      <c r="AC45" s="138"/>
      <c r="AD45" s="138"/>
      <c r="AE45" s="138"/>
      <c r="AF45" s="138"/>
      <c r="AG45" s="138"/>
      <c r="AH45" s="406">
        <f>(AH42*100)/AH41-100</f>
        <v>-2.8248587570658401E-3</v>
      </c>
      <c r="AI45" s="406">
        <f>(AI42*100)/AI41-100</f>
        <v>8.8888888888902784E-3</v>
      </c>
      <c r="AJ45" s="406">
        <f>(AJ42*100)/AJ41-100</f>
        <v>-0.20229265003371211</v>
      </c>
      <c r="AK45" s="406" t="e">
        <f>(AK42*100)/AK41-100</f>
        <v>#DIV/0!</v>
      </c>
      <c r="AL45" s="153"/>
      <c r="AM45" s="138"/>
      <c r="AN45" s="137"/>
      <c r="AO45" s="138"/>
      <c r="AP45" s="137"/>
      <c r="AQ45" s="138"/>
      <c r="AR45" s="137"/>
      <c r="AS45" s="138"/>
      <c r="AT45" s="137"/>
    </row>
    <row r="46" spans="1:60" x14ac:dyDescent="0.25">
      <c r="A46" s="429" t="s">
        <v>18</v>
      </c>
      <c r="B46" s="97" t="s">
        <v>1</v>
      </c>
      <c r="C46" s="38">
        <v>70200</v>
      </c>
      <c r="D46" s="38">
        <v>66500</v>
      </c>
      <c r="E46" s="38">
        <v>31400</v>
      </c>
      <c r="F46" s="38">
        <v>38900</v>
      </c>
      <c r="G46" s="38">
        <v>36448</v>
      </c>
      <c r="H46" s="38">
        <v>15229</v>
      </c>
      <c r="I46" s="38">
        <v>24066</v>
      </c>
      <c r="J46" s="38">
        <v>23100</v>
      </c>
      <c r="K46" s="38">
        <v>10669</v>
      </c>
      <c r="L46" s="38">
        <v>5142</v>
      </c>
      <c r="M46" s="38">
        <v>3800</v>
      </c>
      <c r="N46" s="38">
        <v>3600</v>
      </c>
      <c r="O46" s="38">
        <v>1500</v>
      </c>
      <c r="P46" s="38">
        <v>600</v>
      </c>
      <c r="Q46" s="38">
        <v>253</v>
      </c>
      <c r="R46" s="38">
        <v>4963</v>
      </c>
      <c r="S46" s="38">
        <v>14251</v>
      </c>
      <c r="T46" s="38">
        <v>18420</v>
      </c>
      <c r="U46" s="38">
        <v>27518</v>
      </c>
      <c r="V46" s="38">
        <v>48917</v>
      </c>
      <c r="W46" s="38">
        <v>72418</v>
      </c>
      <c r="X46" s="38">
        <v>61588</v>
      </c>
      <c r="Y46" s="61">
        <v>65261</v>
      </c>
      <c r="Z46" s="128">
        <v>50862</v>
      </c>
      <c r="AA46" s="128">
        <v>54646</v>
      </c>
      <c r="AB46" s="165">
        <v>45159</v>
      </c>
      <c r="AC46" s="165">
        <v>49773</v>
      </c>
      <c r="AD46" s="165">
        <v>43635</v>
      </c>
      <c r="AE46" s="165">
        <v>42810</v>
      </c>
      <c r="AF46" s="165">
        <v>42850</v>
      </c>
      <c r="AG46" s="165">
        <v>39530</v>
      </c>
      <c r="AH46" s="165">
        <v>41117</v>
      </c>
      <c r="AI46" s="165">
        <v>27537</v>
      </c>
      <c r="AJ46" s="409"/>
      <c r="AK46" s="409"/>
      <c r="AL46" s="430" t="s">
        <v>18</v>
      </c>
      <c r="AM46" s="97" t="s">
        <v>1</v>
      </c>
    </row>
    <row r="47" spans="1:60" x14ac:dyDescent="0.25">
      <c r="A47" s="429"/>
      <c r="B47" s="97" t="s">
        <v>2</v>
      </c>
      <c r="C47" s="85"/>
      <c r="D47" s="38">
        <v>66500</v>
      </c>
      <c r="E47" s="38">
        <v>31400</v>
      </c>
      <c r="F47" s="38">
        <v>38900</v>
      </c>
      <c r="G47" s="38">
        <v>36400</v>
      </c>
      <c r="H47" s="38">
        <v>15200</v>
      </c>
      <c r="I47" s="38">
        <v>24100</v>
      </c>
      <c r="J47" s="38">
        <v>23100</v>
      </c>
      <c r="K47" s="38">
        <v>10700</v>
      </c>
      <c r="L47" s="38">
        <v>5100</v>
      </c>
      <c r="M47" s="38">
        <v>3800</v>
      </c>
      <c r="N47" s="85"/>
      <c r="O47" s="85"/>
      <c r="P47" s="38">
        <v>590</v>
      </c>
      <c r="Q47" s="38">
        <v>250</v>
      </c>
      <c r="R47" s="38">
        <v>4910</v>
      </c>
      <c r="S47" s="38">
        <v>14090</v>
      </c>
      <c r="T47" s="38">
        <v>18210</v>
      </c>
      <c r="U47" s="38">
        <v>27200</v>
      </c>
      <c r="V47" s="38">
        <v>48350</v>
      </c>
      <c r="W47" s="38">
        <v>71590</v>
      </c>
      <c r="X47" s="38">
        <v>60880</v>
      </c>
      <c r="Y47" s="46">
        <v>64510</v>
      </c>
      <c r="Z47" s="165">
        <v>50280</v>
      </c>
      <c r="AA47" s="165">
        <v>54020</v>
      </c>
      <c r="AB47" s="165">
        <v>44640</v>
      </c>
      <c r="AC47" s="165">
        <v>49200</v>
      </c>
      <c r="AD47" s="165">
        <v>43130</v>
      </c>
      <c r="AE47" s="165">
        <v>42810</v>
      </c>
      <c r="AF47" s="165">
        <v>42860</v>
      </c>
      <c r="AG47" s="165">
        <v>39530</v>
      </c>
      <c r="AH47" s="165">
        <v>24670</v>
      </c>
      <c r="AI47" s="165">
        <v>14980</v>
      </c>
      <c r="AJ47" s="165">
        <v>16900</v>
      </c>
      <c r="AK47" s="188"/>
      <c r="AL47" s="430"/>
      <c r="AM47" s="97" t="s">
        <v>2</v>
      </c>
    </row>
    <row r="48" spans="1:60" x14ac:dyDescent="0.25">
      <c r="A48" s="429"/>
      <c r="B48" s="97" t="s">
        <v>92</v>
      </c>
      <c r="C48" s="40">
        <v>70100</v>
      </c>
      <c r="D48" s="41">
        <v>66460</v>
      </c>
      <c r="E48" s="41">
        <v>31449</v>
      </c>
      <c r="F48" s="41">
        <v>38920</v>
      </c>
      <c r="G48" s="41">
        <v>36448</v>
      </c>
      <c r="H48" s="42">
        <v>15229</v>
      </c>
      <c r="I48" s="42">
        <v>24066</v>
      </c>
      <c r="J48" s="42">
        <v>23100</v>
      </c>
      <c r="K48" s="42">
        <v>10669</v>
      </c>
      <c r="L48" s="42">
        <v>5142</v>
      </c>
      <c r="M48" s="42">
        <v>3813</v>
      </c>
      <c r="N48" s="42">
        <v>3551</v>
      </c>
      <c r="O48" s="42">
        <v>1459</v>
      </c>
      <c r="P48" s="42">
        <v>597</v>
      </c>
      <c r="Q48" s="42">
        <v>253</v>
      </c>
      <c r="R48" s="42">
        <v>4963</v>
      </c>
      <c r="S48" s="42">
        <v>14251</v>
      </c>
      <c r="T48" s="42">
        <v>18420</v>
      </c>
      <c r="U48" s="42">
        <v>27518</v>
      </c>
      <c r="V48" s="42">
        <v>48917</v>
      </c>
      <c r="W48" s="42">
        <v>72418</v>
      </c>
      <c r="X48" s="42">
        <v>61588</v>
      </c>
      <c r="Y48" s="49">
        <v>65261</v>
      </c>
      <c r="Z48" s="128">
        <v>50862</v>
      </c>
      <c r="AA48" s="128">
        <v>54600</v>
      </c>
      <c r="AB48" s="128">
        <v>45200</v>
      </c>
      <c r="AC48" s="128">
        <v>49800</v>
      </c>
      <c r="AD48" s="128">
        <v>43635</v>
      </c>
      <c r="AE48" s="128">
        <v>43311</v>
      </c>
      <c r="AF48" s="128">
        <v>43355</v>
      </c>
      <c r="AG48" s="128">
        <v>39991</v>
      </c>
      <c r="AH48" s="128">
        <v>24958</v>
      </c>
      <c r="AI48" s="128">
        <v>15152</v>
      </c>
      <c r="AJ48" s="128">
        <v>17100</v>
      </c>
      <c r="AK48" s="128">
        <v>12214</v>
      </c>
      <c r="AL48" s="430"/>
      <c r="AM48" s="97" t="s">
        <v>92</v>
      </c>
    </row>
    <row r="49" spans="1:47" ht="18.75" customHeight="1" x14ac:dyDescent="0.25">
      <c r="A49" s="429"/>
      <c r="B49" s="98" t="s">
        <v>93</v>
      </c>
      <c r="C49" s="48">
        <f>C46-C48</f>
        <v>100</v>
      </c>
      <c r="D49" s="48">
        <f t="shared" ref="D49:Y49" si="27">D46-D48</f>
        <v>40</v>
      </c>
      <c r="E49" s="48">
        <f t="shared" si="27"/>
        <v>-49</v>
      </c>
      <c r="F49" s="48">
        <f t="shared" si="27"/>
        <v>-20</v>
      </c>
      <c r="G49" s="48">
        <f t="shared" si="27"/>
        <v>0</v>
      </c>
      <c r="H49" s="48">
        <f t="shared" si="27"/>
        <v>0</v>
      </c>
      <c r="I49" s="48">
        <f t="shared" si="27"/>
        <v>0</v>
      </c>
      <c r="J49" s="48">
        <f t="shared" si="27"/>
        <v>0</v>
      </c>
      <c r="K49" s="48">
        <f t="shared" si="27"/>
        <v>0</v>
      </c>
      <c r="L49" s="48">
        <f t="shared" si="27"/>
        <v>0</v>
      </c>
      <c r="M49" s="48">
        <f t="shared" si="27"/>
        <v>-13</v>
      </c>
      <c r="N49" s="48">
        <f t="shared" si="27"/>
        <v>49</v>
      </c>
      <c r="O49" s="48">
        <f t="shared" si="27"/>
        <v>41</v>
      </c>
      <c r="P49" s="48">
        <f t="shared" si="27"/>
        <v>3</v>
      </c>
      <c r="Q49" s="48">
        <f t="shared" si="27"/>
        <v>0</v>
      </c>
      <c r="R49" s="48">
        <f t="shared" si="27"/>
        <v>0</v>
      </c>
      <c r="S49" s="48">
        <f t="shared" si="27"/>
        <v>0</v>
      </c>
      <c r="T49" s="48">
        <f t="shared" si="27"/>
        <v>0</v>
      </c>
      <c r="U49" s="48">
        <f t="shared" si="27"/>
        <v>0</v>
      </c>
      <c r="V49" s="48">
        <f t="shared" si="27"/>
        <v>0</v>
      </c>
      <c r="W49" s="48">
        <f t="shared" si="27"/>
        <v>0</v>
      </c>
      <c r="X49" s="48">
        <f t="shared" si="27"/>
        <v>0</v>
      </c>
      <c r="Y49" s="48">
        <f t="shared" si="27"/>
        <v>0</v>
      </c>
      <c r="Z49" s="129">
        <f t="shared" ref="Z49:AK49" si="28">Z46-Z48</f>
        <v>0</v>
      </c>
      <c r="AA49" s="129">
        <f t="shared" si="28"/>
        <v>46</v>
      </c>
      <c r="AB49" s="129">
        <f t="shared" si="28"/>
        <v>-41</v>
      </c>
      <c r="AC49" s="129">
        <f t="shared" si="28"/>
        <v>-27</v>
      </c>
      <c r="AD49" s="129">
        <f t="shared" si="28"/>
        <v>0</v>
      </c>
      <c r="AE49" s="129">
        <f t="shared" si="28"/>
        <v>-501</v>
      </c>
      <c r="AF49" s="129">
        <f t="shared" si="28"/>
        <v>-505</v>
      </c>
      <c r="AG49" s="129">
        <f t="shared" si="28"/>
        <v>-461</v>
      </c>
      <c r="AH49" s="129">
        <f t="shared" si="28"/>
        <v>16159</v>
      </c>
      <c r="AI49" s="129">
        <f t="shared" si="28"/>
        <v>12385</v>
      </c>
      <c r="AJ49" s="129">
        <f t="shared" si="28"/>
        <v>-17100</v>
      </c>
      <c r="AK49" s="129">
        <f t="shared" si="28"/>
        <v>-12214</v>
      </c>
      <c r="AL49" s="430"/>
      <c r="AM49" s="98" t="s">
        <v>93</v>
      </c>
    </row>
    <row r="50" spans="1:47" ht="17.25" customHeight="1" x14ac:dyDescent="0.25">
      <c r="A50" s="429"/>
      <c r="B50" s="98" t="s">
        <v>94</v>
      </c>
      <c r="C50" s="44">
        <f>C47-C48</f>
        <v>-70100</v>
      </c>
      <c r="D50" s="44">
        <f t="shared" ref="D50:Y50" si="29">D47-D48</f>
        <v>40</v>
      </c>
      <c r="E50" s="44">
        <f t="shared" si="29"/>
        <v>-49</v>
      </c>
      <c r="F50" s="44">
        <f t="shared" si="29"/>
        <v>-20</v>
      </c>
      <c r="G50" s="44">
        <f t="shared" si="29"/>
        <v>-48</v>
      </c>
      <c r="H50" s="44">
        <f t="shared" si="29"/>
        <v>-29</v>
      </c>
      <c r="I50" s="44">
        <f t="shared" si="29"/>
        <v>34</v>
      </c>
      <c r="J50" s="44">
        <f t="shared" si="29"/>
        <v>0</v>
      </c>
      <c r="K50" s="44">
        <f t="shared" si="29"/>
        <v>31</v>
      </c>
      <c r="L50" s="44">
        <f t="shared" si="29"/>
        <v>-42</v>
      </c>
      <c r="M50" s="44">
        <f t="shared" si="29"/>
        <v>-13</v>
      </c>
      <c r="N50" s="44">
        <f t="shared" si="29"/>
        <v>-3551</v>
      </c>
      <c r="O50" s="44">
        <f t="shared" si="29"/>
        <v>-1459</v>
      </c>
      <c r="P50" s="44">
        <f t="shared" si="29"/>
        <v>-7</v>
      </c>
      <c r="Q50" s="44">
        <f t="shared" si="29"/>
        <v>-3</v>
      </c>
      <c r="R50" s="44">
        <f t="shared" si="29"/>
        <v>-53</v>
      </c>
      <c r="S50" s="44">
        <f t="shared" si="29"/>
        <v>-161</v>
      </c>
      <c r="T50" s="44">
        <f t="shared" si="29"/>
        <v>-210</v>
      </c>
      <c r="U50" s="44">
        <f t="shared" si="29"/>
        <v>-318</v>
      </c>
      <c r="V50" s="44">
        <f t="shared" si="29"/>
        <v>-567</v>
      </c>
      <c r="W50" s="44">
        <f t="shared" si="29"/>
        <v>-828</v>
      </c>
      <c r="X50" s="44">
        <f t="shared" si="29"/>
        <v>-708</v>
      </c>
      <c r="Y50" s="44">
        <f t="shared" si="29"/>
        <v>-751</v>
      </c>
      <c r="Z50" s="129">
        <f t="shared" ref="Z50:AK50" si="30">Z47-Z48</f>
        <v>-582</v>
      </c>
      <c r="AA50" s="129">
        <f t="shared" si="30"/>
        <v>-580</v>
      </c>
      <c r="AB50" s="129">
        <f t="shared" si="30"/>
        <v>-560</v>
      </c>
      <c r="AC50" s="129">
        <f t="shared" si="30"/>
        <v>-600</v>
      </c>
      <c r="AD50" s="129">
        <f t="shared" si="30"/>
        <v>-505</v>
      </c>
      <c r="AE50" s="129">
        <f t="shared" si="30"/>
        <v>-501</v>
      </c>
      <c r="AF50" s="129">
        <f t="shared" si="30"/>
        <v>-495</v>
      </c>
      <c r="AG50" s="129">
        <f t="shared" si="30"/>
        <v>-461</v>
      </c>
      <c r="AH50" s="129">
        <f t="shared" si="30"/>
        <v>-288</v>
      </c>
      <c r="AI50" s="129">
        <f t="shared" si="30"/>
        <v>-172</v>
      </c>
      <c r="AJ50" s="129">
        <f t="shared" si="30"/>
        <v>-200</v>
      </c>
      <c r="AK50" s="129">
        <f t="shared" si="30"/>
        <v>-12214</v>
      </c>
      <c r="AL50" s="430"/>
      <c r="AM50" s="98" t="s">
        <v>94</v>
      </c>
    </row>
    <row r="51" spans="1:47" x14ac:dyDescent="0.25">
      <c r="A51" s="158"/>
      <c r="B51" s="9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137"/>
      <c r="R51" s="138"/>
      <c r="S51" s="137"/>
      <c r="T51" s="138"/>
      <c r="U51" s="137"/>
      <c r="V51" s="138"/>
      <c r="W51" s="137"/>
      <c r="X51" s="138"/>
      <c r="Y51" s="137"/>
      <c r="Z51" s="138"/>
      <c r="AA51" s="137"/>
      <c r="AB51" s="137"/>
      <c r="AC51" s="137"/>
      <c r="AD51" s="137"/>
      <c r="AE51" s="137"/>
      <c r="AF51" s="137"/>
      <c r="AG51" s="137"/>
      <c r="AH51" s="405">
        <f>(AH48*100)/AH47-100</f>
        <v>1.167409809485207</v>
      </c>
      <c r="AI51" s="405">
        <f>(AI48*100)/AI47-100</f>
        <v>1.1481975967957254</v>
      </c>
      <c r="AJ51" s="405">
        <f>(AJ48*100)/AJ47-100</f>
        <v>1.1834319526627155</v>
      </c>
      <c r="AK51" s="405" t="e">
        <f>(AK48*100)/AK47-100</f>
        <v>#DIV/0!</v>
      </c>
      <c r="AL51" s="152"/>
      <c r="AM51" s="137"/>
      <c r="AN51" s="138"/>
      <c r="AO51" s="137"/>
      <c r="AP51" s="138"/>
      <c r="AQ51" s="137"/>
      <c r="AR51" s="138"/>
      <c r="AS51" s="137"/>
      <c r="AT51" s="138"/>
      <c r="AU51" s="137"/>
    </row>
    <row r="52" spans="1:47" x14ac:dyDescent="0.25">
      <c r="A52" s="429" t="s">
        <v>19</v>
      </c>
      <c r="B52" s="97" t="s">
        <v>1</v>
      </c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38">
        <v>19473</v>
      </c>
      <c r="R52" s="38">
        <v>100997</v>
      </c>
      <c r="S52" s="38">
        <v>94142</v>
      </c>
      <c r="T52" s="38">
        <v>71285</v>
      </c>
      <c r="U52" s="38">
        <v>81768</v>
      </c>
      <c r="V52" s="38">
        <v>100818</v>
      </c>
      <c r="W52" s="38">
        <v>97251</v>
      </c>
      <c r="X52" s="38">
        <v>123120</v>
      </c>
      <c r="Y52" s="61">
        <v>144800</v>
      </c>
      <c r="Z52" s="128">
        <v>133931</v>
      </c>
      <c r="AA52" s="128">
        <v>245027</v>
      </c>
      <c r="AB52" s="165">
        <v>275219</v>
      </c>
      <c r="AC52" s="165">
        <v>265088</v>
      </c>
      <c r="AD52" s="165">
        <v>287326</v>
      </c>
      <c r="AE52" s="165">
        <v>331570</v>
      </c>
      <c r="AF52" s="165">
        <v>337450</v>
      </c>
      <c r="AG52" s="165">
        <v>314000</v>
      </c>
      <c r="AH52" s="188"/>
      <c r="AI52" s="188"/>
      <c r="AJ52" s="188"/>
      <c r="AK52" s="188"/>
      <c r="AL52" s="430" t="s">
        <v>19</v>
      </c>
      <c r="AM52" s="97" t="s">
        <v>1</v>
      </c>
    </row>
    <row r="53" spans="1:47" x14ac:dyDescent="0.25">
      <c r="A53" s="436"/>
      <c r="B53" s="97" t="s">
        <v>2</v>
      </c>
      <c r="C53" s="47"/>
      <c r="D53" s="47"/>
      <c r="E53" s="47"/>
      <c r="F53" s="47"/>
      <c r="G53" s="47"/>
      <c r="H53" s="47"/>
      <c r="I53" s="47"/>
      <c r="J53" s="47"/>
      <c r="K53" s="46">
        <v>3700</v>
      </c>
      <c r="L53" s="46">
        <v>3400</v>
      </c>
      <c r="M53" s="46">
        <v>4100</v>
      </c>
      <c r="N53" s="401">
        <v>24737</v>
      </c>
      <c r="O53" s="46">
        <v>32950</v>
      </c>
      <c r="P53" s="46">
        <v>24355</v>
      </c>
      <c r="Q53" s="46">
        <v>18924</v>
      </c>
      <c r="R53" s="46">
        <v>36184</v>
      </c>
      <c r="S53" s="46">
        <v>28107</v>
      </c>
      <c r="T53" s="46">
        <v>26058</v>
      </c>
      <c r="U53" s="46">
        <v>25661</v>
      </c>
      <c r="V53" s="46">
        <v>31719</v>
      </c>
      <c r="W53" s="46">
        <v>25347</v>
      </c>
      <c r="X53" s="46">
        <v>30268</v>
      </c>
      <c r="Y53" s="46">
        <v>34646</v>
      </c>
      <c r="Z53" s="165">
        <v>27891</v>
      </c>
      <c r="AA53" s="165">
        <v>337830</v>
      </c>
      <c r="AB53" s="165">
        <v>358760</v>
      </c>
      <c r="AC53" s="165">
        <v>350080</v>
      </c>
      <c r="AD53" s="165">
        <v>348000</v>
      </c>
      <c r="AE53" s="165">
        <v>413860</v>
      </c>
      <c r="AF53" s="165">
        <v>427210</v>
      </c>
      <c r="AG53" s="165">
        <v>398630</v>
      </c>
      <c r="AH53" s="165">
        <v>319660</v>
      </c>
      <c r="AI53" s="165">
        <v>401560</v>
      </c>
      <c r="AJ53" s="165">
        <v>192410</v>
      </c>
      <c r="AK53" s="188"/>
      <c r="AL53" s="433"/>
      <c r="AM53" s="97" t="s">
        <v>2</v>
      </c>
    </row>
    <row r="54" spans="1:47" x14ac:dyDescent="0.25">
      <c r="A54" s="436"/>
      <c r="B54" s="97" t="s">
        <v>92</v>
      </c>
      <c r="C54" s="40">
        <v>0</v>
      </c>
      <c r="D54" s="81">
        <v>0</v>
      </c>
      <c r="E54" s="81">
        <v>0</v>
      </c>
      <c r="F54" s="81">
        <v>0</v>
      </c>
      <c r="G54" s="81">
        <v>0</v>
      </c>
      <c r="H54" s="65">
        <v>0</v>
      </c>
      <c r="I54" s="65">
        <v>0</v>
      </c>
      <c r="J54" s="65">
        <v>0</v>
      </c>
      <c r="K54" s="65">
        <v>3657</v>
      </c>
      <c r="L54" s="65">
        <v>3435</v>
      </c>
      <c r="M54" s="65">
        <v>3634</v>
      </c>
      <c r="N54" s="65">
        <v>7431</v>
      </c>
      <c r="O54" s="65">
        <v>17055</v>
      </c>
      <c r="P54" s="65">
        <v>23006</v>
      </c>
      <c r="Q54" s="65">
        <v>19473</v>
      </c>
      <c r="R54" s="42">
        <v>100997</v>
      </c>
      <c r="S54" s="42">
        <v>94142</v>
      </c>
      <c r="T54" s="42">
        <v>71285</v>
      </c>
      <c r="U54" s="42">
        <v>81768</v>
      </c>
      <c r="V54" s="42">
        <v>100818</v>
      </c>
      <c r="W54" s="42">
        <v>97251</v>
      </c>
      <c r="X54" s="42">
        <v>123120</v>
      </c>
      <c r="Y54" s="49">
        <v>144800</v>
      </c>
      <c r="Z54" s="128">
        <v>133931</v>
      </c>
      <c r="AA54" s="128">
        <v>245027</v>
      </c>
      <c r="AB54" s="128">
        <v>275219</v>
      </c>
      <c r="AC54" s="128">
        <v>262143</v>
      </c>
      <c r="AD54" s="165">
        <v>287326</v>
      </c>
      <c r="AE54" s="165">
        <v>331567</v>
      </c>
      <c r="AF54" s="165">
        <v>337451</v>
      </c>
      <c r="AG54" s="165">
        <v>313998</v>
      </c>
      <c r="AH54" s="165">
        <v>235848</v>
      </c>
      <c r="AI54" s="165">
        <v>259207</v>
      </c>
      <c r="AJ54" s="165">
        <v>259207</v>
      </c>
      <c r="AK54" s="165">
        <v>197118</v>
      </c>
      <c r="AL54" s="433"/>
      <c r="AM54" s="97" t="s">
        <v>92</v>
      </c>
    </row>
    <row r="55" spans="1:47" ht="18.75" customHeight="1" x14ac:dyDescent="0.25">
      <c r="A55" s="436"/>
      <c r="B55" s="98" t="s">
        <v>93</v>
      </c>
      <c r="C55" s="44">
        <f>C52-C54</f>
        <v>0</v>
      </c>
      <c r="D55" s="44">
        <f t="shared" ref="D55:Y55" si="31">D52-D54</f>
        <v>0</v>
      </c>
      <c r="E55" s="44">
        <f t="shared" si="31"/>
        <v>0</v>
      </c>
      <c r="F55" s="44">
        <f t="shared" si="31"/>
        <v>0</v>
      </c>
      <c r="G55" s="44">
        <f t="shared" si="31"/>
        <v>0</v>
      </c>
      <c r="H55" s="44">
        <f t="shared" si="31"/>
        <v>0</v>
      </c>
      <c r="I55" s="44">
        <f t="shared" si="31"/>
        <v>0</v>
      </c>
      <c r="J55" s="44">
        <f t="shared" si="31"/>
        <v>0</v>
      </c>
      <c r="K55" s="44">
        <f t="shared" si="31"/>
        <v>-3657</v>
      </c>
      <c r="L55" s="44">
        <f t="shared" si="31"/>
        <v>-3435</v>
      </c>
      <c r="M55" s="44">
        <f t="shared" si="31"/>
        <v>-3634</v>
      </c>
      <c r="N55" s="44">
        <f t="shared" si="31"/>
        <v>-7431</v>
      </c>
      <c r="O55" s="44">
        <f t="shared" si="31"/>
        <v>-17055</v>
      </c>
      <c r="P55" s="44">
        <f t="shared" si="31"/>
        <v>-23006</v>
      </c>
      <c r="Q55" s="44">
        <f t="shared" si="31"/>
        <v>0</v>
      </c>
      <c r="R55" s="44">
        <f t="shared" si="31"/>
        <v>0</v>
      </c>
      <c r="S55" s="44">
        <f t="shared" si="31"/>
        <v>0</v>
      </c>
      <c r="T55" s="44">
        <f t="shared" si="31"/>
        <v>0</v>
      </c>
      <c r="U55" s="44">
        <f t="shared" si="31"/>
        <v>0</v>
      </c>
      <c r="V55" s="44">
        <f t="shared" si="31"/>
        <v>0</v>
      </c>
      <c r="W55" s="44">
        <f t="shared" si="31"/>
        <v>0</v>
      </c>
      <c r="X55" s="44">
        <f t="shared" si="31"/>
        <v>0</v>
      </c>
      <c r="Y55" s="44">
        <f t="shared" si="31"/>
        <v>0</v>
      </c>
      <c r="Z55" s="129">
        <f t="shared" ref="Z55:AK55" si="32">Z52-Z54</f>
        <v>0</v>
      </c>
      <c r="AA55" s="129">
        <f t="shared" si="32"/>
        <v>0</v>
      </c>
      <c r="AB55" s="129">
        <f t="shared" si="32"/>
        <v>0</v>
      </c>
      <c r="AC55" s="129">
        <f t="shared" si="32"/>
        <v>2945</v>
      </c>
      <c r="AD55" s="129">
        <f t="shared" si="32"/>
        <v>0</v>
      </c>
      <c r="AE55" s="129">
        <f t="shared" si="32"/>
        <v>3</v>
      </c>
      <c r="AF55" s="129">
        <f t="shared" si="32"/>
        <v>-1</v>
      </c>
      <c r="AG55" s="129">
        <f t="shared" si="32"/>
        <v>2</v>
      </c>
      <c r="AH55" s="129">
        <f t="shared" si="32"/>
        <v>-235848</v>
      </c>
      <c r="AI55" s="129">
        <f t="shared" si="32"/>
        <v>-259207</v>
      </c>
      <c r="AJ55" s="129">
        <f t="shared" si="32"/>
        <v>-259207</v>
      </c>
      <c r="AK55" s="129">
        <f t="shared" si="32"/>
        <v>-197118</v>
      </c>
      <c r="AL55" s="433"/>
      <c r="AM55" s="98" t="s">
        <v>93</v>
      </c>
    </row>
    <row r="56" spans="1:47" ht="18.75" customHeight="1" x14ac:dyDescent="0.25">
      <c r="A56" s="436"/>
      <c r="B56" s="98" t="s">
        <v>94</v>
      </c>
      <c r="C56" s="44">
        <f>C53-C54</f>
        <v>0</v>
      </c>
      <c r="D56" s="44">
        <f t="shared" ref="D56:Y56" si="33">D53-D54</f>
        <v>0</v>
      </c>
      <c r="E56" s="44">
        <f t="shared" si="33"/>
        <v>0</v>
      </c>
      <c r="F56" s="44">
        <f t="shared" si="33"/>
        <v>0</v>
      </c>
      <c r="G56" s="44">
        <f t="shared" si="33"/>
        <v>0</v>
      </c>
      <c r="H56" s="44">
        <f t="shared" si="33"/>
        <v>0</v>
      </c>
      <c r="I56" s="44">
        <f t="shared" si="33"/>
        <v>0</v>
      </c>
      <c r="J56" s="44">
        <f t="shared" si="33"/>
        <v>0</v>
      </c>
      <c r="K56" s="44">
        <f t="shared" si="33"/>
        <v>43</v>
      </c>
      <c r="L56" s="44">
        <f t="shared" si="33"/>
        <v>-35</v>
      </c>
      <c r="M56" s="44">
        <f t="shared" si="33"/>
        <v>466</v>
      </c>
      <c r="N56" s="44">
        <f t="shared" si="33"/>
        <v>17306</v>
      </c>
      <c r="O56" s="44">
        <f t="shared" si="33"/>
        <v>15895</v>
      </c>
      <c r="P56" s="44">
        <f t="shared" si="33"/>
        <v>1349</v>
      </c>
      <c r="Q56" s="44">
        <f t="shared" si="33"/>
        <v>-549</v>
      </c>
      <c r="R56" s="44">
        <f t="shared" si="33"/>
        <v>-64813</v>
      </c>
      <c r="S56" s="44">
        <f t="shared" si="33"/>
        <v>-66035</v>
      </c>
      <c r="T56" s="44">
        <f t="shared" si="33"/>
        <v>-45227</v>
      </c>
      <c r="U56" s="44">
        <f t="shared" si="33"/>
        <v>-56107</v>
      </c>
      <c r="V56" s="44">
        <f t="shared" si="33"/>
        <v>-69099</v>
      </c>
      <c r="W56" s="44">
        <f t="shared" si="33"/>
        <v>-71904</v>
      </c>
      <c r="X56" s="44">
        <f t="shared" si="33"/>
        <v>-92852</v>
      </c>
      <c r="Y56" s="44">
        <f t="shared" si="33"/>
        <v>-110154</v>
      </c>
      <c r="Z56" s="129">
        <f t="shared" ref="Z56:AK56" si="34">Z53-Z54</f>
        <v>-106040</v>
      </c>
      <c r="AA56" s="129">
        <f t="shared" si="34"/>
        <v>92803</v>
      </c>
      <c r="AB56" s="129">
        <f t="shared" si="34"/>
        <v>83541</v>
      </c>
      <c r="AC56" s="129">
        <f t="shared" si="34"/>
        <v>87937</v>
      </c>
      <c r="AD56" s="129">
        <f t="shared" si="34"/>
        <v>60674</v>
      </c>
      <c r="AE56" s="129">
        <f t="shared" si="34"/>
        <v>82293</v>
      </c>
      <c r="AF56" s="129">
        <f t="shared" si="34"/>
        <v>89759</v>
      </c>
      <c r="AG56" s="129">
        <f t="shared" si="34"/>
        <v>84632</v>
      </c>
      <c r="AH56" s="129">
        <f t="shared" si="34"/>
        <v>83812</v>
      </c>
      <c r="AI56" s="129">
        <f t="shared" si="34"/>
        <v>142353</v>
      </c>
      <c r="AJ56" s="129">
        <f t="shared" si="34"/>
        <v>-66797</v>
      </c>
      <c r="AK56" s="129">
        <f t="shared" si="34"/>
        <v>-197118</v>
      </c>
      <c r="AL56" s="433"/>
      <c r="AM56" s="98" t="s">
        <v>95</v>
      </c>
    </row>
    <row r="57" spans="1:47" x14ac:dyDescent="0.25">
      <c r="A57" s="156"/>
      <c r="B57" s="99"/>
      <c r="C57" s="79"/>
      <c r="D57" s="79"/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/>
      <c r="W57"/>
      <c r="X57"/>
      <c r="Y57"/>
      <c r="Z57"/>
      <c r="AA57"/>
      <c r="AB57" s="10"/>
      <c r="AC57"/>
      <c r="AD57"/>
      <c r="AE57"/>
      <c r="AF57"/>
      <c r="AG57"/>
      <c r="AH57"/>
      <c r="AI57"/>
      <c r="AJ57"/>
      <c r="AK57"/>
      <c r="AL57" s="154"/>
      <c r="AM57"/>
    </row>
    <row r="58" spans="1:47" x14ac:dyDescent="0.25">
      <c r="A58" s="429" t="s">
        <v>20</v>
      </c>
      <c r="B58" s="97" t="s">
        <v>1</v>
      </c>
      <c r="C58" s="38">
        <v>98500</v>
      </c>
      <c r="D58" s="38">
        <v>49395</v>
      </c>
      <c r="E58" s="38">
        <v>32292</v>
      </c>
      <c r="F58" s="38">
        <v>33180</v>
      </c>
      <c r="G58" s="38">
        <v>36406</v>
      </c>
      <c r="H58" s="38">
        <v>38091</v>
      </c>
      <c r="I58" s="38">
        <v>54262</v>
      </c>
      <c r="J58" s="38">
        <v>33705</v>
      </c>
      <c r="K58" s="38">
        <v>27264</v>
      </c>
      <c r="L58" s="38">
        <v>24382</v>
      </c>
      <c r="M58" s="38">
        <v>27000</v>
      </c>
      <c r="N58" s="38">
        <v>14200</v>
      </c>
      <c r="O58" s="38">
        <v>21700</v>
      </c>
      <c r="P58" s="38">
        <v>20450</v>
      </c>
      <c r="Q58" s="38">
        <v>23500</v>
      </c>
      <c r="R58" s="38">
        <v>57018</v>
      </c>
      <c r="S58" s="38">
        <v>38801</v>
      </c>
      <c r="T58" s="38">
        <v>35682</v>
      </c>
      <c r="U58" s="38">
        <v>17252</v>
      </c>
      <c r="V58" s="38">
        <v>36332</v>
      </c>
      <c r="W58" s="38">
        <v>29934</v>
      </c>
      <c r="X58" s="38">
        <v>39543</v>
      </c>
      <c r="Y58" s="61">
        <v>54972</v>
      </c>
      <c r="Z58" s="128">
        <v>45717</v>
      </c>
      <c r="AA58" s="128">
        <v>54366</v>
      </c>
      <c r="AB58" s="165">
        <v>50838</v>
      </c>
      <c r="AC58" s="165">
        <v>55179</v>
      </c>
      <c r="AD58" s="165">
        <v>78254</v>
      </c>
      <c r="AE58" s="165">
        <v>280480</v>
      </c>
      <c r="AF58" s="165">
        <v>170750</v>
      </c>
      <c r="AG58" s="165">
        <v>220420</v>
      </c>
      <c r="AH58" s="188"/>
      <c r="AI58" s="188"/>
      <c r="AJ58" s="188"/>
      <c r="AK58" s="188"/>
      <c r="AL58" s="430" t="s">
        <v>20</v>
      </c>
      <c r="AM58" s="97" t="s">
        <v>1</v>
      </c>
    </row>
    <row r="59" spans="1:47" x14ac:dyDescent="0.25">
      <c r="A59" s="436"/>
      <c r="B59" s="97" t="s">
        <v>2</v>
      </c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63"/>
      <c r="Z59" s="166"/>
      <c r="AA59" s="166"/>
      <c r="AB59" s="166"/>
      <c r="AC59" s="166"/>
      <c r="AD59" s="166"/>
      <c r="AE59" s="166"/>
      <c r="AF59" s="166"/>
      <c r="AG59" s="166"/>
      <c r="AH59" s="166"/>
      <c r="AI59" s="166"/>
      <c r="AJ59" s="166"/>
      <c r="AK59" s="166"/>
      <c r="AL59" s="433"/>
      <c r="AM59" s="97" t="s">
        <v>2</v>
      </c>
    </row>
    <row r="60" spans="1:47" x14ac:dyDescent="0.25">
      <c r="A60" s="436"/>
      <c r="B60" s="97" t="s">
        <v>92</v>
      </c>
      <c r="C60" s="40">
        <v>98500</v>
      </c>
      <c r="D60" s="41">
        <v>49395</v>
      </c>
      <c r="E60" s="41">
        <v>32292</v>
      </c>
      <c r="F60" s="41">
        <v>33180</v>
      </c>
      <c r="G60" s="41">
        <v>36406</v>
      </c>
      <c r="H60" s="42">
        <v>38091</v>
      </c>
      <c r="I60" s="42">
        <v>54262</v>
      </c>
      <c r="J60" s="42">
        <v>33705</v>
      </c>
      <c r="K60" s="42">
        <v>27263</v>
      </c>
      <c r="L60" s="42">
        <v>24382</v>
      </c>
      <c r="M60" s="42">
        <v>27011</v>
      </c>
      <c r="N60" s="42">
        <v>14159</v>
      </c>
      <c r="O60" s="42">
        <v>21661</v>
      </c>
      <c r="P60" s="42">
        <v>20450</v>
      </c>
      <c r="Q60" s="42">
        <v>23497</v>
      </c>
      <c r="R60" s="42">
        <v>58036</v>
      </c>
      <c r="S60" s="42">
        <v>39096</v>
      </c>
      <c r="T60" s="42">
        <v>36147</v>
      </c>
      <c r="U60" s="42">
        <v>17748</v>
      </c>
      <c r="V60" s="42">
        <v>36917</v>
      </c>
      <c r="W60" s="42">
        <v>30009</v>
      </c>
      <c r="X60" s="42">
        <v>39677</v>
      </c>
      <c r="Y60" s="49">
        <v>55076</v>
      </c>
      <c r="Z60" s="128">
        <v>45878</v>
      </c>
      <c r="AA60" s="128">
        <v>54600</v>
      </c>
      <c r="AB60" s="128">
        <v>51000</v>
      </c>
      <c r="AC60" s="128">
        <v>55300</v>
      </c>
      <c r="AD60" s="128">
        <v>78808</v>
      </c>
      <c r="AE60" s="128">
        <v>282245</v>
      </c>
      <c r="AF60" s="128">
        <v>172512</v>
      </c>
      <c r="AG60" s="128">
        <v>221572</v>
      </c>
      <c r="AH60" s="128">
        <v>110133</v>
      </c>
      <c r="AI60" s="128">
        <v>161421</v>
      </c>
      <c r="AJ60" s="128">
        <v>110600</v>
      </c>
      <c r="AK60" s="128">
        <v>155919</v>
      </c>
      <c r="AL60" s="433"/>
      <c r="AM60" s="97" t="s">
        <v>92</v>
      </c>
    </row>
    <row r="61" spans="1:47" ht="18.75" customHeight="1" x14ac:dyDescent="0.25">
      <c r="A61" s="436"/>
      <c r="B61" s="98" t="s">
        <v>93</v>
      </c>
      <c r="C61" s="48">
        <f>C58-C60</f>
        <v>0</v>
      </c>
      <c r="D61" s="48">
        <f t="shared" ref="D61:Y61" si="35">D58-D60</f>
        <v>0</v>
      </c>
      <c r="E61" s="48">
        <f t="shared" si="35"/>
        <v>0</v>
      </c>
      <c r="F61" s="48">
        <f t="shared" si="35"/>
        <v>0</v>
      </c>
      <c r="G61" s="48">
        <f t="shared" si="35"/>
        <v>0</v>
      </c>
      <c r="H61" s="48">
        <f t="shared" si="35"/>
        <v>0</v>
      </c>
      <c r="I61" s="48">
        <f t="shared" si="35"/>
        <v>0</v>
      </c>
      <c r="J61" s="48">
        <f t="shared" si="35"/>
        <v>0</v>
      </c>
      <c r="K61" s="48">
        <f t="shared" si="35"/>
        <v>1</v>
      </c>
      <c r="L61" s="48">
        <f t="shared" si="35"/>
        <v>0</v>
      </c>
      <c r="M61" s="48">
        <f t="shared" si="35"/>
        <v>-11</v>
      </c>
      <c r="N61" s="48">
        <f t="shared" si="35"/>
        <v>41</v>
      </c>
      <c r="O61" s="48">
        <f t="shared" si="35"/>
        <v>39</v>
      </c>
      <c r="P61" s="48">
        <f t="shared" si="35"/>
        <v>0</v>
      </c>
      <c r="Q61" s="48">
        <f t="shared" si="35"/>
        <v>3</v>
      </c>
      <c r="R61" s="48">
        <f t="shared" si="35"/>
        <v>-1018</v>
      </c>
      <c r="S61" s="48">
        <f t="shared" si="35"/>
        <v>-295</v>
      </c>
      <c r="T61" s="48">
        <f t="shared" si="35"/>
        <v>-465</v>
      </c>
      <c r="U61" s="48">
        <f t="shared" si="35"/>
        <v>-496</v>
      </c>
      <c r="V61" s="48">
        <f t="shared" si="35"/>
        <v>-585</v>
      </c>
      <c r="W61" s="48">
        <f t="shared" si="35"/>
        <v>-75</v>
      </c>
      <c r="X61" s="48">
        <f t="shared" si="35"/>
        <v>-134</v>
      </c>
      <c r="Y61" s="48">
        <f t="shared" si="35"/>
        <v>-104</v>
      </c>
      <c r="Z61" s="129">
        <f t="shared" ref="Z61:AK61" si="36">Z58-Z60</f>
        <v>-161</v>
      </c>
      <c r="AA61" s="129">
        <f t="shared" si="36"/>
        <v>-234</v>
      </c>
      <c r="AB61" s="129">
        <f t="shared" si="36"/>
        <v>-162</v>
      </c>
      <c r="AC61" s="129">
        <f t="shared" si="36"/>
        <v>-121</v>
      </c>
      <c r="AD61" s="129">
        <f t="shared" si="36"/>
        <v>-554</v>
      </c>
      <c r="AE61" s="129">
        <f t="shared" si="36"/>
        <v>-1765</v>
      </c>
      <c r="AF61" s="129">
        <f t="shared" si="36"/>
        <v>-1762</v>
      </c>
      <c r="AG61" s="129">
        <f t="shared" si="36"/>
        <v>-1152</v>
      </c>
      <c r="AH61" s="129">
        <f t="shared" si="36"/>
        <v>-110133</v>
      </c>
      <c r="AI61" s="129">
        <f t="shared" si="36"/>
        <v>-161421</v>
      </c>
      <c r="AJ61" s="129">
        <f t="shared" si="36"/>
        <v>-110600</v>
      </c>
      <c r="AK61" s="129">
        <f t="shared" si="36"/>
        <v>-155919</v>
      </c>
      <c r="AL61" s="433"/>
      <c r="AM61" s="98" t="s">
        <v>93</v>
      </c>
    </row>
    <row r="62" spans="1:47" ht="18.75" customHeight="1" x14ac:dyDescent="0.25">
      <c r="A62" s="436"/>
      <c r="B62" s="98" t="s">
        <v>94</v>
      </c>
      <c r="C62" s="44">
        <f>C59-C60</f>
        <v>-98500</v>
      </c>
      <c r="D62" s="44">
        <f t="shared" ref="D62:Y62" si="37">D59-D60</f>
        <v>-49395</v>
      </c>
      <c r="E62" s="44">
        <f t="shared" si="37"/>
        <v>-32292</v>
      </c>
      <c r="F62" s="44">
        <f t="shared" si="37"/>
        <v>-33180</v>
      </c>
      <c r="G62" s="44">
        <f t="shared" si="37"/>
        <v>-36406</v>
      </c>
      <c r="H62" s="44">
        <f t="shared" si="37"/>
        <v>-38091</v>
      </c>
      <c r="I62" s="44">
        <f t="shared" si="37"/>
        <v>-54262</v>
      </c>
      <c r="J62" s="44">
        <f t="shared" si="37"/>
        <v>-33705</v>
      </c>
      <c r="K62" s="44">
        <f t="shared" si="37"/>
        <v>-27263</v>
      </c>
      <c r="L62" s="44">
        <f t="shared" si="37"/>
        <v>-24382</v>
      </c>
      <c r="M62" s="44">
        <f t="shared" si="37"/>
        <v>-27011</v>
      </c>
      <c r="N62" s="44">
        <f t="shared" si="37"/>
        <v>-14159</v>
      </c>
      <c r="O62" s="44">
        <f t="shared" si="37"/>
        <v>-21661</v>
      </c>
      <c r="P62" s="44">
        <f t="shared" si="37"/>
        <v>-20450</v>
      </c>
      <c r="Q62" s="44">
        <f t="shared" si="37"/>
        <v>-23497</v>
      </c>
      <c r="R62" s="44">
        <f t="shared" si="37"/>
        <v>-58036</v>
      </c>
      <c r="S62" s="44">
        <f t="shared" si="37"/>
        <v>-39096</v>
      </c>
      <c r="T62" s="44">
        <f t="shared" si="37"/>
        <v>-36147</v>
      </c>
      <c r="U62" s="44">
        <f t="shared" si="37"/>
        <v>-17748</v>
      </c>
      <c r="V62" s="44">
        <f t="shared" si="37"/>
        <v>-36917</v>
      </c>
      <c r="W62" s="44">
        <f t="shared" si="37"/>
        <v>-30009</v>
      </c>
      <c r="X62" s="44">
        <f t="shared" si="37"/>
        <v>-39677</v>
      </c>
      <c r="Y62" s="44">
        <f t="shared" si="37"/>
        <v>-55076</v>
      </c>
      <c r="Z62" s="129">
        <f t="shared" ref="Z62:AK62" si="38">Z59-Z60</f>
        <v>-45878</v>
      </c>
      <c r="AA62" s="129">
        <f t="shared" si="38"/>
        <v>-54600</v>
      </c>
      <c r="AB62" s="129">
        <f t="shared" si="38"/>
        <v>-51000</v>
      </c>
      <c r="AC62" s="129">
        <f t="shared" si="38"/>
        <v>-55300</v>
      </c>
      <c r="AD62" s="129">
        <f t="shared" si="38"/>
        <v>-78808</v>
      </c>
      <c r="AE62" s="129">
        <f t="shared" si="38"/>
        <v>-282245</v>
      </c>
      <c r="AF62" s="129">
        <f t="shared" si="38"/>
        <v>-172512</v>
      </c>
      <c r="AG62" s="129">
        <f t="shared" si="38"/>
        <v>-221572</v>
      </c>
      <c r="AH62" s="129">
        <f t="shared" si="38"/>
        <v>-110133</v>
      </c>
      <c r="AI62" s="129">
        <f t="shared" si="38"/>
        <v>-161421</v>
      </c>
      <c r="AJ62" s="129">
        <f t="shared" si="38"/>
        <v>-110600</v>
      </c>
      <c r="AK62" s="129">
        <f t="shared" si="38"/>
        <v>-155919</v>
      </c>
      <c r="AL62" s="433"/>
      <c r="AM62" s="98" t="s">
        <v>94</v>
      </c>
    </row>
    <row r="63" spans="1:47" x14ac:dyDescent="0.25">
      <c r="A63" s="156"/>
      <c r="B63" s="97"/>
      <c r="C63" s="88"/>
      <c r="D63" s="88"/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97"/>
      <c r="Q63"/>
      <c r="R63"/>
      <c r="S63"/>
      <c r="T63"/>
      <c r="U63"/>
      <c r="V63"/>
      <c r="W63"/>
      <c r="X63"/>
      <c r="Y63"/>
      <c r="Z63"/>
      <c r="AA63"/>
      <c r="AB63" s="10"/>
      <c r="AC63"/>
      <c r="AD63"/>
      <c r="AE63"/>
      <c r="AF63"/>
      <c r="AG63"/>
      <c r="AH63"/>
      <c r="AI63"/>
      <c r="AJ63"/>
      <c r="AK63"/>
      <c r="AL63" s="154"/>
      <c r="AM63"/>
    </row>
    <row r="64" spans="1:47" x14ac:dyDescent="0.25">
      <c r="A64" s="429" t="s">
        <v>21</v>
      </c>
      <c r="B64" s="97" t="s">
        <v>1</v>
      </c>
      <c r="C64" s="46">
        <v>143600</v>
      </c>
      <c r="D64" s="46">
        <v>57544</v>
      </c>
      <c r="E64" s="46">
        <v>46019</v>
      </c>
      <c r="F64" s="46">
        <v>41184</v>
      </c>
      <c r="G64" s="46">
        <v>48400</v>
      </c>
      <c r="H64" s="46">
        <v>37379</v>
      </c>
      <c r="I64" s="46">
        <v>41769</v>
      </c>
      <c r="J64" s="46">
        <v>42078</v>
      </c>
      <c r="K64" s="46">
        <v>50200</v>
      </c>
      <c r="L64" s="46">
        <v>46900</v>
      </c>
      <c r="M64" s="46">
        <v>47700</v>
      </c>
      <c r="N64" s="46">
        <v>21800</v>
      </c>
      <c r="O64" s="46">
        <v>36500</v>
      </c>
      <c r="P64" s="46">
        <v>33600</v>
      </c>
      <c r="Q64" s="46">
        <v>39679</v>
      </c>
      <c r="R64" s="46">
        <v>53517</v>
      </c>
      <c r="S64" s="46">
        <v>41733</v>
      </c>
      <c r="T64" s="46">
        <v>34942</v>
      </c>
      <c r="U64" s="46">
        <v>18014</v>
      </c>
      <c r="V64" s="46">
        <v>25157</v>
      </c>
      <c r="W64" s="46">
        <v>22348</v>
      </c>
      <c r="X64" s="46">
        <v>21059</v>
      </c>
      <c r="Y64" s="61">
        <v>21351</v>
      </c>
      <c r="Z64" s="128">
        <v>16603</v>
      </c>
      <c r="AA64" s="128">
        <v>18861</v>
      </c>
      <c r="AB64" s="165">
        <v>19748</v>
      </c>
      <c r="AC64" s="165">
        <v>19966</v>
      </c>
      <c r="AD64" s="165">
        <v>19087</v>
      </c>
      <c r="AE64" s="165">
        <v>16130</v>
      </c>
      <c r="AF64" s="188"/>
      <c r="AG64" s="188"/>
      <c r="AH64" s="188"/>
      <c r="AI64" s="188"/>
      <c r="AJ64" s="188"/>
      <c r="AK64" s="188"/>
      <c r="AL64" s="430" t="s">
        <v>21</v>
      </c>
      <c r="AM64" s="97" t="s">
        <v>1</v>
      </c>
    </row>
    <row r="65" spans="1:39" x14ac:dyDescent="0.25">
      <c r="A65" s="429"/>
      <c r="B65" s="97" t="s">
        <v>2</v>
      </c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63"/>
      <c r="Z65" s="166"/>
      <c r="AA65" s="166"/>
      <c r="AB65" s="166"/>
      <c r="AC65" s="166"/>
      <c r="AD65" s="166"/>
      <c r="AE65" s="166"/>
      <c r="AF65" s="166"/>
      <c r="AG65" s="166"/>
      <c r="AH65" s="166"/>
      <c r="AI65" s="166"/>
      <c r="AJ65" s="166"/>
      <c r="AK65" s="166"/>
      <c r="AL65" s="430"/>
      <c r="AM65" s="97" t="s">
        <v>2</v>
      </c>
    </row>
    <row r="66" spans="1:39" x14ac:dyDescent="0.25">
      <c r="A66" s="429"/>
      <c r="B66" s="97" t="s">
        <v>92</v>
      </c>
      <c r="C66" s="82">
        <v>143600</v>
      </c>
      <c r="D66" s="83">
        <v>57542</v>
      </c>
      <c r="E66" s="83">
        <v>46019</v>
      </c>
      <c r="F66" s="83">
        <v>41184</v>
      </c>
      <c r="G66" s="83">
        <v>48421</v>
      </c>
      <c r="H66" s="84">
        <v>37379</v>
      </c>
      <c r="I66" s="84">
        <v>41769</v>
      </c>
      <c r="J66" s="84">
        <v>42078</v>
      </c>
      <c r="K66" s="84">
        <v>50194</v>
      </c>
      <c r="L66" s="84">
        <v>46856</v>
      </c>
      <c r="M66" s="84">
        <v>47698</v>
      </c>
      <c r="N66" s="84">
        <v>21803</v>
      </c>
      <c r="O66" s="84">
        <v>36492</v>
      </c>
      <c r="P66" s="84">
        <v>33592</v>
      </c>
      <c r="Q66" s="84">
        <v>36679</v>
      </c>
      <c r="R66" s="45">
        <v>53517</v>
      </c>
      <c r="S66" s="45">
        <v>41733</v>
      </c>
      <c r="T66" s="45">
        <v>34942</v>
      </c>
      <c r="U66" s="45">
        <v>18014</v>
      </c>
      <c r="V66" s="45">
        <v>25157</v>
      </c>
      <c r="W66" s="45">
        <v>22348</v>
      </c>
      <c r="X66" s="45">
        <v>21059</v>
      </c>
      <c r="Y66" s="49">
        <v>21351</v>
      </c>
      <c r="Z66" s="128">
        <v>16603</v>
      </c>
      <c r="AA66" s="128">
        <v>18900</v>
      </c>
      <c r="AB66" s="128">
        <v>19700</v>
      </c>
      <c r="AC66" s="128">
        <v>19900</v>
      </c>
      <c r="AD66" s="128">
        <v>19087</v>
      </c>
      <c r="AE66" s="128">
        <v>16125</v>
      </c>
      <c r="AF66" s="128">
        <v>17298</v>
      </c>
      <c r="AG66" s="128">
        <v>14095</v>
      </c>
      <c r="AH66" s="128">
        <v>11252</v>
      </c>
      <c r="AI66" s="128">
        <v>12027</v>
      </c>
      <c r="AJ66" s="128">
        <v>7400</v>
      </c>
      <c r="AK66" s="128">
        <v>7457</v>
      </c>
      <c r="AL66" s="430"/>
      <c r="AM66" s="97" t="s">
        <v>92</v>
      </c>
    </row>
    <row r="67" spans="1:39" ht="20.25" customHeight="1" x14ac:dyDescent="0.25">
      <c r="A67" s="429"/>
      <c r="B67" s="98" t="s">
        <v>93</v>
      </c>
      <c r="C67" s="48">
        <f>C64-C66</f>
        <v>0</v>
      </c>
      <c r="D67" s="48">
        <f t="shared" ref="D67:Y67" si="39">D64-D66</f>
        <v>2</v>
      </c>
      <c r="E67" s="48">
        <f t="shared" si="39"/>
        <v>0</v>
      </c>
      <c r="F67" s="48">
        <f t="shared" si="39"/>
        <v>0</v>
      </c>
      <c r="G67" s="48">
        <f t="shared" si="39"/>
        <v>-21</v>
      </c>
      <c r="H67" s="48">
        <f t="shared" si="39"/>
        <v>0</v>
      </c>
      <c r="I67" s="48">
        <f t="shared" si="39"/>
        <v>0</v>
      </c>
      <c r="J67" s="48">
        <f t="shared" si="39"/>
        <v>0</v>
      </c>
      <c r="K67" s="48">
        <f t="shared" si="39"/>
        <v>6</v>
      </c>
      <c r="L67" s="48">
        <f t="shared" si="39"/>
        <v>44</v>
      </c>
      <c r="M67" s="48">
        <f t="shared" si="39"/>
        <v>2</v>
      </c>
      <c r="N67" s="48">
        <f t="shared" si="39"/>
        <v>-3</v>
      </c>
      <c r="O67" s="48">
        <f t="shared" si="39"/>
        <v>8</v>
      </c>
      <c r="P67" s="48">
        <f t="shared" si="39"/>
        <v>8</v>
      </c>
      <c r="Q67" s="48">
        <f t="shared" si="39"/>
        <v>3000</v>
      </c>
      <c r="R67" s="48">
        <f t="shared" si="39"/>
        <v>0</v>
      </c>
      <c r="S67" s="48">
        <f t="shared" si="39"/>
        <v>0</v>
      </c>
      <c r="T67" s="48">
        <f t="shared" si="39"/>
        <v>0</v>
      </c>
      <c r="U67" s="48">
        <f t="shared" si="39"/>
        <v>0</v>
      </c>
      <c r="V67" s="48">
        <f t="shared" si="39"/>
        <v>0</v>
      </c>
      <c r="W67" s="48">
        <f t="shared" si="39"/>
        <v>0</v>
      </c>
      <c r="X67" s="48">
        <f t="shared" si="39"/>
        <v>0</v>
      </c>
      <c r="Y67" s="48">
        <f t="shared" si="39"/>
        <v>0</v>
      </c>
      <c r="Z67" s="129">
        <f t="shared" ref="Z67:AK67" si="40">Z64-Z66</f>
        <v>0</v>
      </c>
      <c r="AA67" s="129">
        <f t="shared" si="40"/>
        <v>-39</v>
      </c>
      <c r="AB67" s="129">
        <f t="shared" si="40"/>
        <v>48</v>
      </c>
      <c r="AC67" s="129">
        <f t="shared" si="40"/>
        <v>66</v>
      </c>
      <c r="AD67" s="129">
        <f t="shared" si="40"/>
        <v>0</v>
      </c>
      <c r="AE67" s="129">
        <f t="shared" si="40"/>
        <v>5</v>
      </c>
      <c r="AF67" s="129">
        <f t="shared" si="40"/>
        <v>-17298</v>
      </c>
      <c r="AG67" s="129">
        <f t="shared" si="40"/>
        <v>-14095</v>
      </c>
      <c r="AH67" s="129">
        <f t="shared" si="40"/>
        <v>-11252</v>
      </c>
      <c r="AI67" s="129">
        <f t="shared" si="40"/>
        <v>-12027</v>
      </c>
      <c r="AJ67" s="129">
        <f t="shared" si="40"/>
        <v>-7400</v>
      </c>
      <c r="AK67" s="129">
        <f t="shared" si="40"/>
        <v>-7457</v>
      </c>
      <c r="AL67" s="430"/>
      <c r="AM67" s="98" t="s">
        <v>93</v>
      </c>
    </row>
    <row r="68" spans="1:39" ht="18" customHeight="1" x14ac:dyDescent="0.25">
      <c r="A68" s="429"/>
      <c r="B68" s="98" t="s">
        <v>94</v>
      </c>
      <c r="C68" s="44">
        <f>C65-C66</f>
        <v>-143600</v>
      </c>
      <c r="D68" s="44">
        <f t="shared" ref="D68:Y68" si="41">D65-D66</f>
        <v>-57542</v>
      </c>
      <c r="E68" s="44">
        <f t="shared" si="41"/>
        <v>-46019</v>
      </c>
      <c r="F68" s="44">
        <f t="shared" si="41"/>
        <v>-41184</v>
      </c>
      <c r="G68" s="44">
        <f t="shared" si="41"/>
        <v>-48421</v>
      </c>
      <c r="H68" s="44">
        <f t="shared" si="41"/>
        <v>-37379</v>
      </c>
      <c r="I68" s="44">
        <f t="shared" si="41"/>
        <v>-41769</v>
      </c>
      <c r="J68" s="44">
        <f t="shared" si="41"/>
        <v>-42078</v>
      </c>
      <c r="K68" s="44">
        <f t="shared" si="41"/>
        <v>-50194</v>
      </c>
      <c r="L68" s="44">
        <f t="shared" si="41"/>
        <v>-46856</v>
      </c>
      <c r="M68" s="44">
        <f t="shared" si="41"/>
        <v>-47698</v>
      </c>
      <c r="N68" s="44">
        <f t="shared" si="41"/>
        <v>-21803</v>
      </c>
      <c r="O68" s="44">
        <f t="shared" si="41"/>
        <v>-36492</v>
      </c>
      <c r="P68" s="44">
        <f t="shared" si="41"/>
        <v>-33592</v>
      </c>
      <c r="Q68" s="44">
        <f t="shared" si="41"/>
        <v>-36679</v>
      </c>
      <c r="R68" s="44">
        <f t="shared" si="41"/>
        <v>-53517</v>
      </c>
      <c r="S68" s="44">
        <f t="shared" si="41"/>
        <v>-41733</v>
      </c>
      <c r="T68" s="44">
        <f t="shared" si="41"/>
        <v>-34942</v>
      </c>
      <c r="U68" s="44">
        <f t="shared" si="41"/>
        <v>-18014</v>
      </c>
      <c r="V68" s="44">
        <f t="shared" si="41"/>
        <v>-25157</v>
      </c>
      <c r="W68" s="44">
        <f t="shared" si="41"/>
        <v>-22348</v>
      </c>
      <c r="X68" s="44">
        <f t="shared" si="41"/>
        <v>-21059</v>
      </c>
      <c r="Y68" s="44">
        <f t="shared" si="41"/>
        <v>-21351</v>
      </c>
      <c r="Z68" s="129">
        <f>Z65-Z66</f>
        <v>-16603</v>
      </c>
      <c r="AA68" s="129">
        <f>AA65-AA66</f>
        <v>-18900</v>
      </c>
      <c r="AB68" s="129">
        <f>AB65-AB66</f>
        <v>-19700</v>
      </c>
      <c r="AC68" s="129">
        <f>AC65-AC66</f>
        <v>-19900</v>
      </c>
      <c r="AD68" s="129">
        <f>AD65-AD66</f>
        <v>-19087</v>
      </c>
      <c r="AE68" s="129">
        <f t="shared" ref="AE68:AK68" si="42">AD65-AD66</f>
        <v>-19087</v>
      </c>
      <c r="AF68" s="129">
        <f t="shared" si="42"/>
        <v>-16125</v>
      </c>
      <c r="AG68" s="129">
        <f t="shared" si="42"/>
        <v>-17298</v>
      </c>
      <c r="AH68" s="129">
        <f t="shared" si="42"/>
        <v>-14095</v>
      </c>
      <c r="AI68" s="129">
        <f t="shared" si="42"/>
        <v>-11252</v>
      </c>
      <c r="AJ68" s="129">
        <f t="shared" si="42"/>
        <v>-12027</v>
      </c>
      <c r="AK68" s="129">
        <f t="shared" si="42"/>
        <v>-7400</v>
      </c>
      <c r="AL68" s="430"/>
      <c r="AM68" s="98" t="s">
        <v>94</v>
      </c>
    </row>
    <row r="69" spans="1:39" x14ac:dyDescent="0.25">
      <c r="A69" s="156"/>
      <c r="B69" s="99"/>
      <c r="C69" s="79"/>
      <c r="D69" s="79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Q69" s="121"/>
      <c r="R69" s="131"/>
      <c r="T69" s="99"/>
      <c r="U69"/>
      <c r="V69"/>
      <c r="W69"/>
      <c r="X69"/>
      <c r="Y69"/>
      <c r="Z69"/>
      <c r="AA69"/>
      <c r="AB69" s="10"/>
      <c r="AC69"/>
      <c r="AD69"/>
      <c r="AE69"/>
      <c r="AF69"/>
      <c r="AG69"/>
      <c r="AH69"/>
      <c r="AI69"/>
      <c r="AJ69"/>
      <c r="AK69"/>
      <c r="AL69" s="154"/>
      <c r="AM69"/>
    </row>
    <row r="70" spans="1:39" ht="29.25" customHeight="1" x14ac:dyDescent="0.25">
      <c r="A70" s="439" t="s">
        <v>22</v>
      </c>
      <c r="B70" s="97" t="s">
        <v>1</v>
      </c>
      <c r="C70" s="38">
        <v>13800</v>
      </c>
      <c r="D70" s="38">
        <v>5200</v>
      </c>
      <c r="E70" s="38">
        <v>1180</v>
      </c>
      <c r="F70" s="38">
        <v>314</v>
      </c>
      <c r="G70" s="38">
        <v>405</v>
      </c>
      <c r="H70" s="38">
        <v>600</v>
      </c>
      <c r="I70" s="38">
        <v>900</v>
      </c>
      <c r="J70" s="38">
        <v>1200</v>
      </c>
      <c r="K70" s="38">
        <v>1100</v>
      </c>
      <c r="L70" s="38">
        <v>1200</v>
      </c>
      <c r="M70" s="38">
        <v>2100</v>
      </c>
      <c r="N70" s="38">
        <v>938</v>
      </c>
      <c r="O70" s="38">
        <v>2847</v>
      </c>
      <c r="P70" s="38">
        <v>1200</v>
      </c>
      <c r="Q70" s="38">
        <v>400</v>
      </c>
      <c r="R70" s="38">
        <v>778</v>
      </c>
      <c r="S70" s="38">
        <v>84</v>
      </c>
      <c r="T70" s="38">
        <v>485</v>
      </c>
      <c r="U70" s="38">
        <v>423</v>
      </c>
      <c r="V70" s="38">
        <v>392</v>
      </c>
      <c r="W70" s="38">
        <v>561</v>
      </c>
      <c r="X70" s="38">
        <v>608</v>
      </c>
      <c r="Y70" s="89">
        <v>403</v>
      </c>
      <c r="Z70" s="167">
        <v>453</v>
      </c>
      <c r="AA70" s="167">
        <v>763</v>
      </c>
      <c r="AB70" s="198">
        <v>598</v>
      </c>
      <c r="AC70" s="198">
        <v>632.67999999999995</v>
      </c>
      <c r="AD70" s="191"/>
      <c r="AE70" s="191"/>
      <c r="AF70" s="191"/>
      <c r="AG70" s="191"/>
      <c r="AH70" s="191"/>
      <c r="AI70" s="191"/>
      <c r="AJ70" s="191"/>
      <c r="AK70" s="191"/>
      <c r="AL70" s="441" t="s">
        <v>22</v>
      </c>
      <c r="AM70" s="97" t="s">
        <v>1</v>
      </c>
    </row>
    <row r="71" spans="1:39" x14ac:dyDescent="0.25">
      <c r="A71" s="440"/>
      <c r="B71" s="97" t="s">
        <v>2</v>
      </c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63"/>
      <c r="Z71" s="166"/>
      <c r="AA71" s="166"/>
      <c r="AB71" s="166"/>
      <c r="AC71" s="166"/>
      <c r="AD71" s="166"/>
      <c r="AE71" s="166"/>
      <c r="AF71" s="166"/>
      <c r="AG71" s="166"/>
      <c r="AH71" s="166"/>
      <c r="AI71" s="166"/>
      <c r="AJ71" s="166"/>
      <c r="AK71" s="166"/>
      <c r="AL71" s="442"/>
      <c r="AM71" s="97" t="s">
        <v>2</v>
      </c>
    </row>
    <row r="72" spans="1:39" x14ac:dyDescent="0.25">
      <c r="A72" s="440"/>
      <c r="B72" s="97" t="s">
        <v>92</v>
      </c>
      <c r="C72" s="90">
        <v>13800</v>
      </c>
      <c r="D72" s="90">
        <v>5179</v>
      </c>
      <c r="E72" s="90">
        <v>1180</v>
      </c>
      <c r="F72" s="90">
        <v>314</v>
      </c>
      <c r="G72" s="90">
        <v>405</v>
      </c>
      <c r="H72" s="90">
        <v>642</v>
      </c>
      <c r="I72" s="90">
        <v>986</v>
      </c>
      <c r="J72" s="90">
        <v>1233</v>
      </c>
      <c r="K72" s="90">
        <v>1103</v>
      </c>
      <c r="L72" s="90">
        <v>1259</v>
      </c>
      <c r="M72" s="90">
        <v>2046</v>
      </c>
      <c r="N72" s="90">
        <v>967</v>
      </c>
      <c r="O72" s="90">
        <v>3021</v>
      </c>
      <c r="P72" s="90">
        <v>1271</v>
      </c>
      <c r="Q72" s="90">
        <v>469</v>
      </c>
      <c r="R72" s="90">
        <v>778</v>
      </c>
      <c r="S72" s="90">
        <v>84</v>
      </c>
      <c r="T72" s="90">
        <v>485</v>
      </c>
      <c r="U72" s="90">
        <v>423</v>
      </c>
      <c r="V72" s="90">
        <v>392</v>
      </c>
      <c r="W72" s="90">
        <v>561</v>
      </c>
      <c r="X72" s="90">
        <v>608</v>
      </c>
      <c r="Y72" s="49">
        <v>403</v>
      </c>
      <c r="Z72" s="168">
        <v>453</v>
      </c>
      <c r="AA72" s="168">
        <v>714</v>
      </c>
      <c r="AB72" s="168">
        <v>700</v>
      </c>
      <c r="AC72" s="168">
        <v>600</v>
      </c>
      <c r="AD72" s="168">
        <v>1417</v>
      </c>
      <c r="AE72" s="168">
        <v>3310</v>
      </c>
      <c r="AF72" s="168">
        <v>1665</v>
      </c>
      <c r="AG72" s="168">
        <v>756</v>
      </c>
      <c r="AH72" s="168">
        <v>294</v>
      </c>
      <c r="AI72" s="168">
        <v>502</v>
      </c>
      <c r="AJ72" s="168">
        <v>15600</v>
      </c>
      <c r="AK72" s="168">
        <v>657</v>
      </c>
      <c r="AL72" s="442"/>
      <c r="AM72" s="97" t="s">
        <v>92</v>
      </c>
    </row>
    <row r="73" spans="1:39" ht="20.25" customHeight="1" x14ac:dyDescent="0.25">
      <c r="A73" s="440"/>
      <c r="B73" s="98" t="s">
        <v>93</v>
      </c>
      <c r="C73" s="48">
        <f>C70-C72</f>
        <v>0</v>
      </c>
      <c r="D73" s="48">
        <f t="shared" ref="D73:Y73" si="43">D70-D72</f>
        <v>21</v>
      </c>
      <c r="E73" s="48">
        <f t="shared" si="43"/>
        <v>0</v>
      </c>
      <c r="F73" s="48">
        <f t="shared" si="43"/>
        <v>0</v>
      </c>
      <c r="G73" s="48">
        <f t="shared" si="43"/>
        <v>0</v>
      </c>
      <c r="H73" s="48">
        <f t="shared" si="43"/>
        <v>-42</v>
      </c>
      <c r="I73" s="48">
        <f t="shared" si="43"/>
        <v>-86</v>
      </c>
      <c r="J73" s="48">
        <f t="shared" si="43"/>
        <v>-33</v>
      </c>
      <c r="K73" s="48">
        <f t="shared" si="43"/>
        <v>-3</v>
      </c>
      <c r="L73" s="48">
        <f t="shared" si="43"/>
        <v>-59</v>
      </c>
      <c r="M73" s="48">
        <f t="shared" si="43"/>
        <v>54</v>
      </c>
      <c r="N73" s="48">
        <f t="shared" si="43"/>
        <v>-29</v>
      </c>
      <c r="O73" s="48">
        <f t="shared" si="43"/>
        <v>-174</v>
      </c>
      <c r="P73" s="48">
        <f t="shared" si="43"/>
        <v>-71</v>
      </c>
      <c r="Q73" s="48">
        <f t="shared" si="43"/>
        <v>-69</v>
      </c>
      <c r="R73" s="48">
        <f t="shared" si="43"/>
        <v>0</v>
      </c>
      <c r="S73" s="48">
        <f t="shared" si="43"/>
        <v>0</v>
      </c>
      <c r="T73" s="48">
        <f t="shared" si="43"/>
        <v>0</v>
      </c>
      <c r="U73" s="48">
        <f t="shared" si="43"/>
        <v>0</v>
      </c>
      <c r="V73" s="48">
        <f t="shared" si="43"/>
        <v>0</v>
      </c>
      <c r="W73" s="48">
        <f t="shared" si="43"/>
        <v>0</v>
      </c>
      <c r="X73" s="48">
        <f t="shared" si="43"/>
        <v>0</v>
      </c>
      <c r="Y73" s="48">
        <f t="shared" si="43"/>
        <v>0</v>
      </c>
      <c r="Z73" s="129">
        <f t="shared" ref="Z73:AK73" si="44">Z70-Z72</f>
        <v>0</v>
      </c>
      <c r="AA73" s="129">
        <f t="shared" si="44"/>
        <v>49</v>
      </c>
      <c r="AB73" s="129">
        <f t="shared" si="44"/>
        <v>-102</v>
      </c>
      <c r="AC73" s="129">
        <f t="shared" si="44"/>
        <v>32.67999999999995</v>
      </c>
      <c r="AD73" s="129">
        <f t="shared" si="44"/>
        <v>-1417</v>
      </c>
      <c r="AE73" s="129">
        <f t="shared" si="44"/>
        <v>-3310</v>
      </c>
      <c r="AF73" s="129">
        <f t="shared" si="44"/>
        <v>-1665</v>
      </c>
      <c r="AG73" s="129">
        <f t="shared" si="44"/>
        <v>-756</v>
      </c>
      <c r="AH73" s="129">
        <f t="shared" si="44"/>
        <v>-294</v>
      </c>
      <c r="AI73" s="129">
        <f t="shared" si="44"/>
        <v>-502</v>
      </c>
      <c r="AJ73" s="129">
        <f t="shared" si="44"/>
        <v>-15600</v>
      </c>
      <c r="AK73" s="129">
        <f t="shared" si="44"/>
        <v>-657</v>
      </c>
      <c r="AL73" s="442"/>
      <c r="AM73" s="98" t="s">
        <v>93</v>
      </c>
    </row>
    <row r="74" spans="1:39" ht="18" customHeight="1" x14ac:dyDescent="0.25">
      <c r="A74" s="440"/>
      <c r="B74" s="98" t="s">
        <v>94</v>
      </c>
      <c r="C74" s="44">
        <f>C71-C72</f>
        <v>-13800</v>
      </c>
      <c r="D74" s="44">
        <f t="shared" ref="D74:Y74" si="45">D71-D72</f>
        <v>-5179</v>
      </c>
      <c r="E74" s="44">
        <f t="shared" si="45"/>
        <v>-1180</v>
      </c>
      <c r="F74" s="44">
        <f t="shared" si="45"/>
        <v>-314</v>
      </c>
      <c r="G74" s="44">
        <f t="shared" si="45"/>
        <v>-405</v>
      </c>
      <c r="H74" s="44">
        <f t="shared" si="45"/>
        <v>-642</v>
      </c>
      <c r="I74" s="44">
        <f t="shared" si="45"/>
        <v>-986</v>
      </c>
      <c r="J74" s="44">
        <f t="shared" si="45"/>
        <v>-1233</v>
      </c>
      <c r="K74" s="44">
        <f t="shared" si="45"/>
        <v>-1103</v>
      </c>
      <c r="L74" s="44">
        <f t="shared" si="45"/>
        <v>-1259</v>
      </c>
      <c r="M74" s="44">
        <f t="shared" si="45"/>
        <v>-2046</v>
      </c>
      <c r="N74" s="44">
        <f t="shared" si="45"/>
        <v>-967</v>
      </c>
      <c r="O74" s="44">
        <f t="shared" si="45"/>
        <v>-3021</v>
      </c>
      <c r="P74" s="44">
        <f t="shared" si="45"/>
        <v>-1271</v>
      </c>
      <c r="Q74" s="44">
        <f t="shared" si="45"/>
        <v>-469</v>
      </c>
      <c r="R74" s="44">
        <f t="shared" si="45"/>
        <v>-778</v>
      </c>
      <c r="S74" s="44">
        <f t="shared" si="45"/>
        <v>-84</v>
      </c>
      <c r="T74" s="44">
        <f t="shared" si="45"/>
        <v>-485</v>
      </c>
      <c r="U74" s="44">
        <f t="shared" si="45"/>
        <v>-423</v>
      </c>
      <c r="V74" s="44">
        <f t="shared" si="45"/>
        <v>-392</v>
      </c>
      <c r="W74" s="44">
        <f t="shared" si="45"/>
        <v>-561</v>
      </c>
      <c r="X74" s="44">
        <f t="shared" si="45"/>
        <v>-608</v>
      </c>
      <c r="Y74" s="44">
        <f t="shared" si="45"/>
        <v>-403</v>
      </c>
      <c r="Z74" s="129">
        <f t="shared" ref="Z74:AK74" si="46">Z71-Z72</f>
        <v>-453</v>
      </c>
      <c r="AA74" s="129">
        <f t="shared" si="46"/>
        <v>-714</v>
      </c>
      <c r="AB74" s="129">
        <f t="shared" si="46"/>
        <v>-700</v>
      </c>
      <c r="AC74" s="129">
        <f t="shared" si="46"/>
        <v>-600</v>
      </c>
      <c r="AD74" s="129">
        <f t="shared" si="46"/>
        <v>-1417</v>
      </c>
      <c r="AE74" s="129">
        <f t="shared" si="46"/>
        <v>-3310</v>
      </c>
      <c r="AF74" s="129">
        <f t="shared" si="46"/>
        <v>-1665</v>
      </c>
      <c r="AG74" s="129">
        <f t="shared" si="46"/>
        <v>-756</v>
      </c>
      <c r="AH74" s="129">
        <f t="shared" si="46"/>
        <v>-294</v>
      </c>
      <c r="AI74" s="129">
        <f t="shared" si="46"/>
        <v>-502</v>
      </c>
      <c r="AJ74" s="129">
        <f t="shared" si="46"/>
        <v>-15600</v>
      </c>
      <c r="AK74" s="129">
        <f t="shared" si="46"/>
        <v>-657</v>
      </c>
      <c r="AL74" s="442"/>
      <c r="AM74" s="98" t="s">
        <v>94</v>
      </c>
    </row>
    <row r="75" spans="1:39" x14ac:dyDescent="0.25">
      <c r="A75" s="160"/>
      <c r="B75" s="97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Z75" s="131"/>
      <c r="AA75" s="131"/>
      <c r="AB75" s="131"/>
      <c r="AC75" s="131"/>
      <c r="AD75" s="131"/>
      <c r="AE75" s="131"/>
      <c r="AF75" s="131"/>
      <c r="AG75" s="131"/>
      <c r="AH75" s="131"/>
      <c r="AI75" s="131"/>
      <c r="AJ75" s="131"/>
      <c r="AK75" s="131"/>
      <c r="AL75" s="155"/>
      <c r="AM75" s="97"/>
    </row>
    <row r="76" spans="1:39" x14ac:dyDescent="0.25">
      <c r="A76" s="429" t="s">
        <v>23</v>
      </c>
      <c r="B76" s="97" t="s">
        <v>1</v>
      </c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9">
        <v>738971</v>
      </c>
      <c r="Z76" s="169">
        <v>157511</v>
      </c>
      <c r="AA76" s="171">
        <v>666097</v>
      </c>
      <c r="AB76" s="171">
        <v>1059121</v>
      </c>
      <c r="AC76" s="171">
        <v>919473</v>
      </c>
      <c r="AD76" s="171">
        <v>1292779</v>
      </c>
      <c r="AE76" s="171">
        <v>1673330</v>
      </c>
      <c r="AF76" s="189"/>
      <c r="AG76" s="189"/>
      <c r="AH76" s="189"/>
      <c r="AI76" s="189"/>
      <c r="AJ76" s="189"/>
      <c r="AK76" s="189"/>
      <c r="AL76" s="430" t="s">
        <v>23</v>
      </c>
      <c r="AM76" s="97" t="s">
        <v>1</v>
      </c>
    </row>
    <row r="77" spans="1:39" x14ac:dyDescent="0.25">
      <c r="A77" s="429"/>
      <c r="B77" s="97" t="s">
        <v>2</v>
      </c>
      <c r="C77" s="47"/>
      <c r="D77" s="46">
        <v>10900</v>
      </c>
      <c r="E77" s="46">
        <v>8800</v>
      </c>
      <c r="F77" s="46">
        <v>1400</v>
      </c>
      <c r="G77" s="46">
        <v>1400</v>
      </c>
      <c r="H77" s="46">
        <v>300</v>
      </c>
      <c r="I77" s="46">
        <v>400</v>
      </c>
      <c r="J77" s="46">
        <v>1900</v>
      </c>
      <c r="K77" s="46">
        <v>11600</v>
      </c>
      <c r="L77" s="46">
        <v>28700</v>
      </c>
      <c r="M77" s="46">
        <v>108200</v>
      </c>
      <c r="N77" s="46">
        <v>76100</v>
      </c>
      <c r="O77" s="46">
        <v>101800</v>
      </c>
      <c r="P77" s="46">
        <v>35900</v>
      </c>
      <c r="Q77" s="46">
        <v>8100</v>
      </c>
      <c r="R77" s="46">
        <v>98700</v>
      </c>
      <c r="S77" s="46">
        <v>147600</v>
      </c>
      <c r="T77" s="46">
        <v>175100</v>
      </c>
      <c r="U77" s="46">
        <v>361500</v>
      </c>
      <c r="V77" s="46">
        <v>673000</v>
      </c>
      <c r="W77" s="46">
        <v>569600</v>
      </c>
      <c r="X77" s="46">
        <v>924100</v>
      </c>
      <c r="Y77" s="49">
        <v>731700</v>
      </c>
      <c r="Z77" s="169">
        <v>157500</v>
      </c>
      <c r="AA77" s="169">
        <v>666100</v>
      </c>
      <c r="AB77" s="171">
        <v>406710</v>
      </c>
      <c r="AC77" s="171">
        <v>367890</v>
      </c>
      <c r="AD77" s="171">
        <v>455950</v>
      </c>
      <c r="AE77" s="171">
        <v>597970</v>
      </c>
      <c r="AF77" s="171">
        <v>632680</v>
      </c>
      <c r="AG77" s="171">
        <v>352620</v>
      </c>
      <c r="AH77" s="165">
        <v>362870</v>
      </c>
      <c r="AI77" s="165">
        <v>445920</v>
      </c>
      <c r="AJ77" s="188"/>
      <c r="AK77" s="188"/>
      <c r="AL77" s="430"/>
      <c r="AM77" s="97" t="s">
        <v>2</v>
      </c>
    </row>
    <row r="78" spans="1:39" x14ac:dyDescent="0.25">
      <c r="A78" s="429"/>
      <c r="B78" s="97" t="s">
        <v>92</v>
      </c>
      <c r="C78" s="46">
        <v>18000</v>
      </c>
      <c r="D78" s="46">
        <v>10860</v>
      </c>
      <c r="E78" s="46">
        <v>8764</v>
      </c>
      <c r="F78" s="46">
        <v>1372</v>
      </c>
      <c r="G78" s="46">
        <v>1355</v>
      </c>
      <c r="H78" s="46">
        <v>322</v>
      </c>
      <c r="I78" s="46">
        <v>357</v>
      </c>
      <c r="J78" s="46">
        <v>1867</v>
      </c>
      <c r="K78" s="46">
        <v>11646</v>
      </c>
      <c r="L78" s="46">
        <v>28742</v>
      </c>
      <c r="M78" s="46">
        <v>108221</v>
      </c>
      <c r="N78" s="46">
        <v>76126</v>
      </c>
      <c r="O78" s="46">
        <v>101789</v>
      </c>
      <c r="P78" s="46">
        <v>35906</v>
      </c>
      <c r="Q78" s="46">
        <v>8080</v>
      </c>
      <c r="R78" s="46">
        <v>98661</v>
      </c>
      <c r="S78" s="46">
        <v>147566</v>
      </c>
      <c r="T78" s="46">
        <v>175050</v>
      </c>
      <c r="U78" s="46">
        <v>361500</v>
      </c>
      <c r="V78" s="46">
        <v>673033</v>
      </c>
      <c r="W78" s="46">
        <v>569611</v>
      </c>
      <c r="X78" s="46">
        <v>943033</v>
      </c>
      <c r="Y78" s="49">
        <v>738971</v>
      </c>
      <c r="Z78" s="169">
        <v>157511</v>
      </c>
      <c r="AA78" s="169">
        <v>666100</v>
      </c>
      <c r="AB78" s="169">
        <v>1059100</v>
      </c>
      <c r="AC78" s="169">
        <v>919500</v>
      </c>
      <c r="AD78" s="169">
        <v>1292779</v>
      </c>
      <c r="AE78" s="169">
        <v>1673327</v>
      </c>
      <c r="AF78" s="169">
        <v>1610907</v>
      </c>
      <c r="AG78" s="169">
        <v>798215</v>
      </c>
      <c r="AH78" s="128">
        <v>780155</v>
      </c>
      <c r="AI78" s="128">
        <v>1375067</v>
      </c>
      <c r="AJ78" s="128">
        <v>1229532</v>
      </c>
      <c r="AK78" s="128">
        <v>1789667</v>
      </c>
      <c r="AL78" s="430"/>
      <c r="AM78" s="97" t="s">
        <v>92</v>
      </c>
    </row>
    <row r="79" spans="1:39" ht="21.75" customHeight="1" x14ac:dyDescent="0.25">
      <c r="A79" s="429"/>
      <c r="B79" s="98" t="s">
        <v>93</v>
      </c>
      <c r="C79" s="44">
        <f>C76-C78</f>
        <v>-18000</v>
      </c>
      <c r="D79" s="44">
        <f t="shared" ref="D79:Y79" si="47">D76-D78</f>
        <v>-10860</v>
      </c>
      <c r="E79" s="44">
        <f t="shared" si="47"/>
        <v>-8764</v>
      </c>
      <c r="F79" s="44">
        <f t="shared" si="47"/>
        <v>-1372</v>
      </c>
      <c r="G79" s="44">
        <f t="shared" si="47"/>
        <v>-1355</v>
      </c>
      <c r="H79" s="44">
        <f t="shared" si="47"/>
        <v>-322</v>
      </c>
      <c r="I79" s="44">
        <f t="shared" si="47"/>
        <v>-357</v>
      </c>
      <c r="J79" s="44">
        <f t="shared" si="47"/>
        <v>-1867</v>
      </c>
      <c r="K79" s="44">
        <f t="shared" si="47"/>
        <v>-11646</v>
      </c>
      <c r="L79" s="44">
        <f t="shared" si="47"/>
        <v>-28742</v>
      </c>
      <c r="M79" s="44">
        <f t="shared" si="47"/>
        <v>-108221</v>
      </c>
      <c r="N79" s="44">
        <f t="shared" si="47"/>
        <v>-76126</v>
      </c>
      <c r="O79" s="44">
        <f t="shared" si="47"/>
        <v>-101789</v>
      </c>
      <c r="P79" s="44">
        <f t="shared" si="47"/>
        <v>-35906</v>
      </c>
      <c r="Q79" s="44">
        <f t="shared" si="47"/>
        <v>-8080</v>
      </c>
      <c r="R79" s="44">
        <f t="shared" si="47"/>
        <v>-98661</v>
      </c>
      <c r="S79" s="44">
        <f t="shared" si="47"/>
        <v>-147566</v>
      </c>
      <c r="T79" s="44">
        <f t="shared" si="47"/>
        <v>-175050</v>
      </c>
      <c r="U79" s="44">
        <f t="shared" si="47"/>
        <v>-361500</v>
      </c>
      <c r="V79" s="44">
        <f t="shared" si="47"/>
        <v>-673033</v>
      </c>
      <c r="W79" s="44">
        <f t="shared" si="47"/>
        <v>-569611</v>
      </c>
      <c r="X79" s="44">
        <f t="shared" si="47"/>
        <v>-943033</v>
      </c>
      <c r="Y79" s="44">
        <f t="shared" si="47"/>
        <v>0</v>
      </c>
      <c r="Z79" s="129">
        <f t="shared" ref="Z79:AK79" si="48">Z76-Z78</f>
        <v>0</v>
      </c>
      <c r="AA79" s="129">
        <f t="shared" si="48"/>
        <v>-3</v>
      </c>
      <c r="AB79" s="129">
        <f t="shared" si="48"/>
        <v>21</v>
      </c>
      <c r="AC79" s="170">
        <f t="shared" si="48"/>
        <v>-27</v>
      </c>
      <c r="AD79" s="170">
        <f t="shared" si="48"/>
        <v>0</v>
      </c>
      <c r="AE79" s="170">
        <f t="shared" si="48"/>
        <v>3</v>
      </c>
      <c r="AF79" s="170">
        <f t="shared" si="48"/>
        <v>-1610907</v>
      </c>
      <c r="AG79" s="170">
        <f t="shared" si="48"/>
        <v>-798215</v>
      </c>
      <c r="AH79" s="170">
        <f t="shared" si="48"/>
        <v>-780155</v>
      </c>
      <c r="AI79" s="170">
        <f t="shared" si="48"/>
        <v>-1375067</v>
      </c>
      <c r="AJ79" s="170">
        <f t="shared" si="48"/>
        <v>-1229532</v>
      </c>
      <c r="AK79" s="170">
        <f t="shared" si="48"/>
        <v>-1789667</v>
      </c>
      <c r="AL79" s="430"/>
      <c r="AM79" s="98" t="s">
        <v>93</v>
      </c>
    </row>
    <row r="80" spans="1:39" ht="17.25" customHeight="1" x14ac:dyDescent="0.25">
      <c r="A80" s="429"/>
      <c r="B80" s="98" t="s">
        <v>94</v>
      </c>
      <c r="C80" s="48">
        <f>C77-C78</f>
        <v>-18000</v>
      </c>
      <c r="D80" s="48">
        <f t="shared" ref="D80:Y80" si="49">D77-D78</f>
        <v>40</v>
      </c>
      <c r="E80" s="48">
        <f t="shared" si="49"/>
        <v>36</v>
      </c>
      <c r="F80" s="48">
        <f t="shared" si="49"/>
        <v>28</v>
      </c>
      <c r="G80" s="48">
        <f t="shared" si="49"/>
        <v>45</v>
      </c>
      <c r="H80" s="48">
        <f t="shared" si="49"/>
        <v>-22</v>
      </c>
      <c r="I80" s="48">
        <f t="shared" si="49"/>
        <v>43</v>
      </c>
      <c r="J80" s="48">
        <f t="shared" si="49"/>
        <v>33</v>
      </c>
      <c r="K80" s="48">
        <f t="shared" si="49"/>
        <v>-46</v>
      </c>
      <c r="L80" s="48">
        <f t="shared" si="49"/>
        <v>-42</v>
      </c>
      <c r="M80" s="48">
        <f t="shared" si="49"/>
        <v>-21</v>
      </c>
      <c r="N80" s="48">
        <f t="shared" si="49"/>
        <v>-26</v>
      </c>
      <c r="O80" s="48">
        <f t="shared" si="49"/>
        <v>11</v>
      </c>
      <c r="P80" s="48">
        <f t="shared" si="49"/>
        <v>-6</v>
      </c>
      <c r="Q80" s="48">
        <f t="shared" si="49"/>
        <v>20</v>
      </c>
      <c r="R80" s="48">
        <f t="shared" si="49"/>
        <v>39</v>
      </c>
      <c r="S80" s="48">
        <f t="shared" si="49"/>
        <v>34</v>
      </c>
      <c r="T80" s="48">
        <f t="shared" si="49"/>
        <v>50</v>
      </c>
      <c r="U80" s="48">
        <f t="shared" si="49"/>
        <v>0</v>
      </c>
      <c r="V80" s="48">
        <f t="shared" si="49"/>
        <v>-33</v>
      </c>
      <c r="W80" s="48">
        <f t="shared" si="49"/>
        <v>-11</v>
      </c>
      <c r="X80" s="48">
        <f t="shared" si="49"/>
        <v>-18933</v>
      </c>
      <c r="Y80" s="48">
        <f t="shared" si="49"/>
        <v>-7271</v>
      </c>
      <c r="Z80" s="170">
        <f t="shared" ref="Z80:AK80" si="50">Z77-Z78</f>
        <v>-11</v>
      </c>
      <c r="AA80" s="170">
        <f t="shared" si="50"/>
        <v>0</v>
      </c>
      <c r="AB80" s="170">
        <f t="shared" si="50"/>
        <v>-652390</v>
      </c>
      <c r="AC80" s="170">
        <f t="shared" si="50"/>
        <v>-551610</v>
      </c>
      <c r="AD80" s="170">
        <f t="shared" si="50"/>
        <v>-836829</v>
      </c>
      <c r="AE80" s="170">
        <f t="shared" si="50"/>
        <v>-1075357</v>
      </c>
      <c r="AF80" s="170">
        <f t="shared" si="50"/>
        <v>-978227</v>
      </c>
      <c r="AG80" s="170">
        <f t="shared" si="50"/>
        <v>-445595</v>
      </c>
      <c r="AH80" s="170">
        <f t="shared" si="50"/>
        <v>-417285</v>
      </c>
      <c r="AI80" s="170">
        <f t="shared" si="50"/>
        <v>-929147</v>
      </c>
      <c r="AJ80" s="170">
        <f t="shared" si="50"/>
        <v>-1229532</v>
      </c>
      <c r="AK80" s="170">
        <f t="shared" si="50"/>
        <v>-1789667</v>
      </c>
      <c r="AL80" s="430"/>
      <c r="AM80" s="98" t="s">
        <v>94</v>
      </c>
    </row>
    <row r="81" spans="1:61" x14ac:dyDescent="0.25">
      <c r="A81" s="150"/>
      <c r="B81" s="97"/>
      <c r="C81" s="79"/>
      <c r="D81" s="79"/>
      <c r="E81" s="79"/>
      <c r="F81" s="79"/>
      <c r="G81" s="79"/>
      <c r="H81" s="79"/>
      <c r="I81" s="79"/>
      <c r="J81" s="79"/>
      <c r="K81" s="79"/>
      <c r="L81" s="79"/>
      <c r="M81" s="79"/>
      <c r="N81" s="62">
        <f>(N78*100)/N77-100</f>
        <v>3.4165571616298962E-2</v>
      </c>
      <c r="O81" s="62">
        <f>(O78*100)/O77-100</f>
        <v>-1.0805500982314697E-2</v>
      </c>
      <c r="P81" s="62"/>
      <c r="Q81" s="62"/>
      <c r="R81" s="62"/>
      <c r="S81" s="62"/>
      <c r="T81" s="62"/>
      <c r="U81" s="62"/>
      <c r="V81" s="62"/>
      <c r="W81" s="62"/>
      <c r="X81" s="62"/>
      <c r="Y81" s="64"/>
      <c r="Z81" s="130"/>
      <c r="AA81" s="130"/>
      <c r="AB81" s="130"/>
      <c r="AC81" s="130"/>
      <c r="AD81" s="130"/>
      <c r="AE81" s="130"/>
      <c r="AF81" s="130"/>
      <c r="AG81" s="130"/>
      <c r="AH81" s="404">
        <f>(AH78*100)/AH77-100</f>
        <v>114.99572849780913</v>
      </c>
      <c r="AI81" s="404">
        <f>(AI78*100)/AI77-100</f>
        <v>208.36629888769284</v>
      </c>
      <c r="AJ81" s="404" t="e">
        <f>(AJ78*100)/AJ77-100</f>
        <v>#DIV/0!</v>
      </c>
      <c r="AK81" s="404" t="e">
        <f>(AK78*100)/AK77-100</f>
        <v>#DIV/0!</v>
      </c>
      <c r="AL81" s="150"/>
      <c r="AM81" s="97"/>
    </row>
    <row r="82" spans="1:61" x14ac:dyDescent="0.25">
      <c r="A82" s="443" t="s">
        <v>77</v>
      </c>
      <c r="B82" s="97" t="s">
        <v>1</v>
      </c>
      <c r="C82" s="38">
        <v>655800</v>
      </c>
      <c r="D82" s="38">
        <v>556242</v>
      </c>
      <c r="E82" s="38">
        <v>611956</v>
      </c>
      <c r="F82" s="38">
        <v>773986</v>
      </c>
      <c r="G82" s="38">
        <v>695833</v>
      </c>
      <c r="H82" s="38">
        <v>763697</v>
      </c>
      <c r="I82" s="38">
        <v>932932</v>
      </c>
      <c r="J82" s="38">
        <v>1095596</v>
      </c>
      <c r="K82" s="38">
        <v>858100</v>
      </c>
      <c r="L82" s="38">
        <v>1073300</v>
      </c>
      <c r="M82" s="38">
        <v>1300900</v>
      </c>
      <c r="N82" s="38">
        <v>721000</v>
      </c>
      <c r="O82" s="38">
        <v>823500</v>
      </c>
      <c r="P82" s="38">
        <v>1002800</v>
      </c>
      <c r="Q82" s="38">
        <v>1506400</v>
      </c>
      <c r="R82" s="38">
        <v>1557813</v>
      </c>
      <c r="S82" s="38">
        <v>1340940</v>
      </c>
      <c r="T82" s="38">
        <v>1526232</v>
      </c>
      <c r="U82" s="38">
        <v>546922</v>
      </c>
      <c r="V82" s="38">
        <v>1169940</v>
      </c>
      <c r="W82" s="38">
        <v>1098047</v>
      </c>
      <c r="X82" s="38">
        <v>1262926</v>
      </c>
      <c r="Y82" s="61">
        <v>1789326</v>
      </c>
      <c r="Z82" s="169">
        <v>1398203</v>
      </c>
      <c r="AA82" s="169">
        <v>2196450</v>
      </c>
      <c r="AB82" s="171">
        <v>2189309</v>
      </c>
      <c r="AC82" s="171">
        <v>1785771</v>
      </c>
      <c r="AD82" s="171">
        <v>2032340</v>
      </c>
      <c r="AE82" s="171">
        <v>2912740</v>
      </c>
      <c r="AF82" s="171">
        <v>3062690</v>
      </c>
      <c r="AG82" s="171">
        <v>3569150</v>
      </c>
      <c r="AH82" s="171">
        <v>1857500</v>
      </c>
      <c r="AI82" s="171">
        <v>2529900</v>
      </c>
      <c r="AJ82" s="189"/>
      <c r="AK82" s="189"/>
      <c r="AL82" s="431" t="s">
        <v>77</v>
      </c>
      <c r="AM82" s="97" t="s">
        <v>1</v>
      </c>
    </row>
    <row r="83" spans="1:61" x14ac:dyDescent="0.25">
      <c r="A83" s="436"/>
      <c r="B83" s="97" t="s">
        <v>2</v>
      </c>
      <c r="C83" s="85"/>
      <c r="D83" s="38">
        <v>556200</v>
      </c>
      <c r="E83" s="38">
        <v>612000</v>
      </c>
      <c r="F83" s="38">
        <v>774000</v>
      </c>
      <c r="G83" s="38">
        <v>695800</v>
      </c>
      <c r="H83" s="38">
        <v>763700</v>
      </c>
      <c r="I83" s="38">
        <v>932900</v>
      </c>
      <c r="J83" s="38">
        <v>1095600</v>
      </c>
      <c r="K83" s="38">
        <v>857900</v>
      </c>
      <c r="L83" s="38">
        <v>1073300</v>
      </c>
      <c r="M83" s="38">
        <v>1300900</v>
      </c>
      <c r="N83" s="38">
        <v>720900</v>
      </c>
      <c r="O83" s="38">
        <v>823600</v>
      </c>
      <c r="P83" s="38">
        <v>1002800</v>
      </c>
      <c r="Q83" s="38">
        <v>1506400</v>
      </c>
      <c r="R83" s="38">
        <v>1557800</v>
      </c>
      <c r="S83" s="38">
        <v>1340900</v>
      </c>
      <c r="T83" s="38">
        <v>1526200</v>
      </c>
      <c r="U83" s="38">
        <v>546900</v>
      </c>
      <c r="V83" s="38">
        <v>1169900</v>
      </c>
      <c r="W83" s="38">
        <v>1098000</v>
      </c>
      <c r="X83" s="49">
        <v>1264723</v>
      </c>
      <c r="Y83" s="49">
        <v>1864500</v>
      </c>
      <c r="Z83" s="171">
        <v>1398200</v>
      </c>
      <c r="AA83" s="171">
        <v>2142100</v>
      </c>
      <c r="AB83" s="189"/>
      <c r="AC83" s="171">
        <v>1785770</v>
      </c>
      <c r="AD83" s="171">
        <v>2032340</v>
      </c>
      <c r="AE83" s="171">
        <v>2912740</v>
      </c>
      <c r="AF83" s="171">
        <v>3062690</v>
      </c>
      <c r="AG83" s="171">
        <v>3569150</v>
      </c>
      <c r="AH83" s="171">
        <v>2122870</v>
      </c>
      <c r="AI83" s="171">
        <v>2843530</v>
      </c>
      <c r="AJ83" s="171">
        <v>2106570</v>
      </c>
      <c r="AK83" s="189"/>
      <c r="AL83" s="432"/>
      <c r="AM83" s="97" t="s">
        <v>2</v>
      </c>
    </row>
    <row r="84" spans="1:61" ht="23.25" customHeight="1" x14ac:dyDescent="0.25">
      <c r="A84" s="436"/>
      <c r="B84" s="97" t="s">
        <v>92</v>
      </c>
      <c r="C84" s="40">
        <v>655800</v>
      </c>
      <c r="D84" s="41">
        <v>556242</v>
      </c>
      <c r="E84" s="41">
        <v>611956</v>
      </c>
      <c r="F84" s="41">
        <v>773986</v>
      </c>
      <c r="G84" s="41">
        <v>695833</v>
      </c>
      <c r="H84" s="42">
        <v>763697</v>
      </c>
      <c r="I84" s="42">
        <v>932932</v>
      </c>
      <c r="J84" s="42">
        <v>1095596</v>
      </c>
      <c r="K84" s="42">
        <v>858060</v>
      </c>
      <c r="L84" s="42">
        <v>1073316</v>
      </c>
      <c r="M84" s="42">
        <v>1300929</v>
      </c>
      <c r="N84" s="42">
        <v>720871</v>
      </c>
      <c r="O84" s="42">
        <v>823549</v>
      </c>
      <c r="P84" s="42">
        <v>1002813</v>
      </c>
      <c r="Q84" s="42">
        <v>1506398</v>
      </c>
      <c r="R84" s="42">
        <v>1557813</v>
      </c>
      <c r="S84" s="42">
        <v>1340940</v>
      </c>
      <c r="T84" s="42">
        <v>1526232</v>
      </c>
      <c r="U84" s="42">
        <v>546922</v>
      </c>
      <c r="V84" s="42">
        <v>1169936</v>
      </c>
      <c r="W84" s="42">
        <v>1098047</v>
      </c>
      <c r="X84" s="42">
        <v>1262926</v>
      </c>
      <c r="Y84" s="49">
        <v>1789326</v>
      </c>
      <c r="Z84" s="169">
        <v>1398200</v>
      </c>
      <c r="AA84" s="169">
        <v>2142100</v>
      </c>
      <c r="AB84" s="169">
        <v>2189300</v>
      </c>
      <c r="AC84" s="169">
        <v>1785800</v>
      </c>
      <c r="AD84" s="169">
        <v>2032340</v>
      </c>
      <c r="AE84" s="169">
        <v>2912743</v>
      </c>
      <c r="AF84" s="169">
        <v>3062690</v>
      </c>
      <c r="AG84" s="169">
        <v>3569150</v>
      </c>
      <c r="AH84" s="169">
        <v>2198665</v>
      </c>
      <c r="AI84" s="169">
        <v>2843531</v>
      </c>
      <c r="AJ84" s="169">
        <v>2106600</v>
      </c>
      <c r="AK84" s="169">
        <v>2015621</v>
      </c>
      <c r="AL84" s="432"/>
      <c r="AM84" s="97" t="s">
        <v>92</v>
      </c>
    </row>
    <row r="85" spans="1:61" ht="22.5" customHeight="1" x14ac:dyDescent="0.25">
      <c r="A85" s="436"/>
      <c r="B85" s="98" t="s">
        <v>93</v>
      </c>
      <c r="C85" s="43">
        <f>C82-C84</f>
        <v>0</v>
      </c>
      <c r="D85" s="43">
        <f t="shared" ref="D85:Y85" si="51">D82-D84</f>
        <v>0</v>
      </c>
      <c r="E85" s="43">
        <f t="shared" si="51"/>
        <v>0</v>
      </c>
      <c r="F85" s="43">
        <f t="shared" si="51"/>
        <v>0</v>
      </c>
      <c r="G85" s="43">
        <f t="shared" si="51"/>
        <v>0</v>
      </c>
      <c r="H85" s="43">
        <f t="shared" si="51"/>
        <v>0</v>
      </c>
      <c r="I85" s="43">
        <f t="shared" si="51"/>
        <v>0</v>
      </c>
      <c r="J85" s="43">
        <f t="shared" si="51"/>
        <v>0</v>
      </c>
      <c r="K85" s="43">
        <f t="shared" si="51"/>
        <v>40</v>
      </c>
      <c r="L85" s="43">
        <f t="shared" si="51"/>
        <v>-16</v>
      </c>
      <c r="M85" s="43">
        <f t="shared" si="51"/>
        <v>-29</v>
      </c>
      <c r="N85" s="43">
        <f t="shared" si="51"/>
        <v>129</v>
      </c>
      <c r="O85" s="43">
        <f t="shared" si="51"/>
        <v>-49</v>
      </c>
      <c r="P85" s="43">
        <f t="shared" si="51"/>
        <v>-13</v>
      </c>
      <c r="Q85" s="43">
        <f t="shared" si="51"/>
        <v>2</v>
      </c>
      <c r="R85" s="43">
        <f t="shared" si="51"/>
        <v>0</v>
      </c>
      <c r="S85" s="43">
        <f t="shared" si="51"/>
        <v>0</v>
      </c>
      <c r="T85" s="43">
        <f t="shared" si="51"/>
        <v>0</v>
      </c>
      <c r="U85" s="43">
        <f t="shared" si="51"/>
        <v>0</v>
      </c>
      <c r="V85" s="43">
        <f t="shared" si="51"/>
        <v>4</v>
      </c>
      <c r="W85" s="43">
        <f t="shared" si="51"/>
        <v>0</v>
      </c>
      <c r="X85" s="43">
        <f t="shared" si="51"/>
        <v>0</v>
      </c>
      <c r="Y85" s="43">
        <f t="shared" si="51"/>
        <v>0</v>
      </c>
      <c r="Z85" s="129">
        <f t="shared" ref="Z85:AK85" si="52">Z82-Z84</f>
        <v>3</v>
      </c>
      <c r="AA85" s="129">
        <f t="shared" si="52"/>
        <v>54350</v>
      </c>
      <c r="AB85" s="129">
        <f t="shared" si="52"/>
        <v>9</v>
      </c>
      <c r="AC85" s="129">
        <f t="shared" si="52"/>
        <v>-29</v>
      </c>
      <c r="AD85" s="129">
        <f t="shared" si="52"/>
        <v>0</v>
      </c>
      <c r="AE85" s="129">
        <f t="shared" si="52"/>
        <v>-3</v>
      </c>
      <c r="AF85" s="129">
        <f t="shared" si="52"/>
        <v>0</v>
      </c>
      <c r="AG85" s="129">
        <f t="shared" si="52"/>
        <v>0</v>
      </c>
      <c r="AH85" s="129">
        <f t="shared" si="52"/>
        <v>-341165</v>
      </c>
      <c r="AI85" s="129">
        <f t="shared" si="52"/>
        <v>-313631</v>
      </c>
      <c r="AJ85" s="129">
        <f t="shared" si="52"/>
        <v>-2106600</v>
      </c>
      <c r="AK85" s="129">
        <f t="shared" si="52"/>
        <v>-2015621</v>
      </c>
      <c r="AL85" s="432"/>
      <c r="AM85" s="98" t="s">
        <v>93</v>
      </c>
    </row>
    <row r="86" spans="1:61" ht="18.75" customHeight="1" x14ac:dyDescent="0.25">
      <c r="A86" s="436"/>
      <c r="B86" s="98" t="s">
        <v>94</v>
      </c>
      <c r="C86" s="44">
        <f>C83-C84</f>
        <v>-655800</v>
      </c>
      <c r="D86" s="44">
        <f t="shared" ref="D86:W86" si="53">D83-D84</f>
        <v>-42</v>
      </c>
      <c r="E86" s="44">
        <f t="shared" si="53"/>
        <v>44</v>
      </c>
      <c r="F86" s="44">
        <f t="shared" si="53"/>
        <v>14</v>
      </c>
      <c r="G86" s="44">
        <f t="shared" si="53"/>
        <v>-33</v>
      </c>
      <c r="H86" s="44">
        <f t="shared" si="53"/>
        <v>3</v>
      </c>
      <c r="I86" s="44">
        <f t="shared" si="53"/>
        <v>-32</v>
      </c>
      <c r="J86" s="44">
        <f t="shared" si="53"/>
        <v>4</v>
      </c>
      <c r="K86" s="44">
        <f t="shared" si="53"/>
        <v>-160</v>
      </c>
      <c r="L86" s="44">
        <f t="shared" si="53"/>
        <v>-16</v>
      </c>
      <c r="M86" s="44">
        <f t="shared" si="53"/>
        <v>-29</v>
      </c>
      <c r="N86" s="44">
        <f t="shared" si="53"/>
        <v>29</v>
      </c>
      <c r="O86" s="44">
        <f t="shared" si="53"/>
        <v>51</v>
      </c>
      <c r="P86" s="44">
        <f t="shared" si="53"/>
        <v>-13</v>
      </c>
      <c r="Q86" s="44">
        <f t="shared" si="53"/>
        <v>2</v>
      </c>
      <c r="R86" s="44">
        <f t="shared" si="53"/>
        <v>-13</v>
      </c>
      <c r="S86" s="44">
        <f t="shared" si="53"/>
        <v>-40</v>
      </c>
      <c r="T86" s="44">
        <f t="shared" si="53"/>
        <v>-32</v>
      </c>
      <c r="U86" s="44">
        <f t="shared" si="53"/>
        <v>-22</v>
      </c>
      <c r="V86" s="44">
        <f t="shared" si="53"/>
        <v>-36</v>
      </c>
      <c r="W86" s="44">
        <f t="shared" si="53"/>
        <v>-47</v>
      </c>
      <c r="X86" s="122">
        <f t="shared" ref="X86:AK86" si="54">X83-X84</f>
        <v>1797</v>
      </c>
      <c r="Y86" s="122">
        <f t="shared" si="54"/>
        <v>75174</v>
      </c>
      <c r="Z86" s="129">
        <f t="shared" si="54"/>
        <v>0</v>
      </c>
      <c r="AA86" s="129">
        <f t="shared" si="54"/>
        <v>0</v>
      </c>
      <c r="AB86" s="129">
        <f t="shared" si="54"/>
        <v>-2189300</v>
      </c>
      <c r="AC86" s="129">
        <f t="shared" si="54"/>
        <v>-30</v>
      </c>
      <c r="AD86" s="129">
        <f t="shared" si="54"/>
        <v>0</v>
      </c>
      <c r="AE86" s="129">
        <f t="shared" si="54"/>
        <v>-3</v>
      </c>
      <c r="AF86" s="129">
        <f t="shared" si="54"/>
        <v>0</v>
      </c>
      <c r="AG86" s="129">
        <f t="shared" si="54"/>
        <v>0</v>
      </c>
      <c r="AH86" s="129">
        <f t="shared" si="54"/>
        <v>-75795</v>
      </c>
      <c r="AI86" s="129">
        <f t="shared" si="54"/>
        <v>-1</v>
      </c>
      <c r="AJ86" s="129">
        <f t="shared" si="54"/>
        <v>-30</v>
      </c>
      <c r="AK86" s="129">
        <f t="shared" si="54"/>
        <v>-2015621</v>
      </c>
      <c r="AL86" s="432"/>
      <c r="AM86" s="98" t="s">
        <v>94</v>
      </c>
    </row>
    <row r="87" spans="1:61" x14ac:dyDescent="0.25">
      <c r="A87" s="156"/>
      <c r="B87" s="99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91"/>
      <c r="O87" s="91"/>
      <c r="P87" s="91"/>
      <c r="Q87" s="91"/>
      <c r="R87" s="91"/>
      <c r="S87" s="91"/>
      <c r="T87" s="91"/>
      <c r="U87" s="91"/>
      <c r="V87" s="91"/>
      <c r="W87" s="91"/>
      <c r="X87" s="91"/>
      <c r="Y87" s="64"/>
      <c r="Z87" s="130"/>
      <c r="AA87" s="130"/>
      <c r="AB87" s="130"/>
      <c r="AC87" s="130"/>
      <c r="AD87" s="130"/>
      <c r="AE87" s="130"/>
      <c r="AF87" s="130"/>
      <c r="AG87" s="130"/>
      <c r="AH87" s="130"/>
      <c r="AI87" s="130"/>
      <c r="AJ87" s="130"/>
      <c r="AK87" s="130"/>
      <c r="AL87" s="156"/>
      <c r="AM87" s="99"/>
    </row>
    <row r="88" spans="1:61" x14ac:dyDescent="0.25">
      <c r="A88" s="444" t="s">
        <v>24</v>
      </c>
      <c r="B88" s="97" t="s">
        <v>1</v>
      </c>
      <c r="C88" s="38">
        <v>48900</v>
      </c>
      <c r="D88" s="38">
        <v>28000</v>
      </c>
      <c r="E88" s="38">
        <v>22800</v>
      </c>
      <c r="F88" s="38">
        <v>17900</v>
      </c>
      <c r="G88" s="38">
        <v>28000</v>
      </c>
      <c r="H88" s="38">
        <v>6500</v>
      </c>
      <c r="I88" s="38">
        <v>4744</v>
      </c>
      <c r="J88" s="38">
        <v>4517</v>
      </c>
      <c r="K88" s="38">
        <v>4758</v>
      </c>
      <c r="L88" s="38">
        <v>3019</v>
      </c>
      <c r="M88" s="38">
        <v>2800</v>
      </c>
      <c r="N88" s="38">
        <v>1000</v>
      </c>
      <c r="O88" s="38">
        <v>2000</v>
      </c>
      <c r="P88" s="38">
        <v>1760</v>
      </c>
      <c r="Q88" s="38">
        <v>1500</v>
      </c>
      <c r="R88" s="38">
        <v>2465</v>
      </c>
      <c r="S88" s="38">
        <v>55</v>
      </c>
      <c r="T88" s="38">
        <v>321</v>
      </c>
      <c r="U88" s="38">
        <v>394</v>
      </c>
      <c r="V88" s="38">
        <v>221</v>
      </c>
      <c r="W88" s="38">
        <v>1099</v>
      </c>
      <c r="X88" s="38">
        <v>1817</v>
      </c>
      <c r="Y88" s="61">
        <v>2626</v>
      </c>
      <c r="Z88" s="128">
        <v>3553</v>
      </c>
      <c r="AA88" s="188"/>
      <c r="AB88" s="165">
        <v>2567</v>
      </c>
      <c r="AC88" s="188"/>
      <c r="AD88" s="188"/>
      <c r="AE88" s="188"/>
      <c r="AF88" s="188"/>
      <c r="AG88" s="188"/>
      <c r="AH88" s="188"/>
      <c r="AI88" s="188"/>
      <c r="AJ88" s="188"/>
      <c r="AK88" s="188"/>
      <c r="AL88" s="445" t="s">
        <v>25</v>
      </c>
      <c r="AM88" s="97" t="s">
        <v>1</v>
      </c>
    </row>
    <row r="89" spans="1:61" x14ac:dyDescent="0.25">
      <c r="A89" s="436"/>
      <c r="B89" s="97" t="s">
        <v>2</v>
      </c>
      <c r="C89" s="85"/>
      <c r="D89" s="38">
        <v>28000</v>
      </c>
      <c r="E89" s="38">
        <v>22800</v>
      </c>
      <c r="F89" s="38">
        <v>17900</v>
      </c>
      <c r="G89" s="38">
        <v>28000</v>
      </c>
      <c r="H89" s="38">
        <v>6500</v>
      </c>
      <c r="I89" s="38">
        <v>4700</v>
      </c>
      <c r="J89" s="38">
        <v>4500</v>
      </c>
      <c r="K89" s="38">
        <v>4800</v>
      </c>
      <c r="L89" s="38">
        <v>3000</v>
      </c>
      <c r="M89" s="38">
        <v>2800</v>
      </c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63"/>
      <c r="Z89" s="166"/>
      <c r="AA89" s="166"/>
      <c r="AB89" s="166"/>
      <c r="AC89" s="166"/>
      <c r="AD89" s="166"/>
      <c r="AE89" s="166"/>
      <c r="AF89" s="166"/>
      <c r="AG89" s="166"/>
      <c r="AH89" s="166"/>
      <c r="AI89" s="166"/>
      <c r="AJ89" s="166"/>
      <c r="AK89" s="166"/>
      <c r="AL89" s="432"/>
      <c r="AM89" s="97" t="s">
        <v>2</v>
      </c>
    </row>
    <row r="90" spans="1:61" x14ac:dyDescent="0.25">
      <c r="A90" s="436"/>
      <c r="B90" s="97" t="s">
        <v>92</v>
      </c>
      <c r="C90" s="86">
        <v>48900</v>
      </c>
      <c r="D90" s="87">
        <v>28040</v>
      </c>
      <c r="E90" s="87">
        <v>22766</v>
      </c>
      <c r="F90" s="87">
        <v>17877</v>
      </c>
      <c r="G90" s="87">
        <v>28036</v>
      </c>
      <c r="H90" s="45">
        <v>6457</v>
      </c>
      <c r="I90" s="45">
        <v>4744</v>
      </c>
      <c r="J90" s="45">
        <v>4517</v>
      </c>
      <c r="K90" s="45">
        <v>4758</v>
      </c>
      <c r="L90" s="45">
        <v>3019</v>
      </c>
      <c r="M90" s="45">
        <v>2773</v>
      </c>
      <c r="N90" s="45">
        <v>994</v>
      </c>
      <c r="O90" s="45">
        <v>1985</v>
      </c>
      <c r="P90" s="45">
        <v>1760</v>
      </c>
      <c r="Q90" s="45">
        <v>1498</v>
      </c>
      <c r="R90" s="45">
        <v>2465</v>
      </c>
      <c r="S90" s="45">
        <v>55</v>
      </c>
      <c r="T90" s="45">
        <v>321</v>
      </c>
      <c r="U90" s="45">
        <v>394</v>
      </c>
      <c r="V90" s="45">
        <v>221</v>
      </c>
      <c r="W90" s="45">
        <v>1099</v>
      </c>
      <c r="X90" s="45">
        <v>1817</v>
      </c>
      <c r="Y90" s="49">
        <v>2626</v>
      </c>
      <c r="Z90" s="128">
        <v>3553</v>
      </c>
      <c r="AA90" s="128">
        <v>4046</v>
      </c>
      <c r="AB90" s="128">
        <v>2600</v>
      </c>
      <c r="AC90" s="128">
        <v>3600</v>
      </c>
      <c r="AD90" s="128">
        <v>3159</v>
      </c>
      <c r="AE90" s="128">
        <v>3619</v>
      </c>
      <c r="AF90" s="128">
        <v>3196</v>
      </c>
      <c r="AG90" s="128">
        <v>6197</v>
      </c>
      <c r="AH90" s="128">
        <v>1806</v>
      </c>
      <c r="AI90" s="128">
        <v>3355</v>
      </c>
      <c r="AJ90" s="128">
        <v>2500</v>
      </c>
      <c r="AK90" s="128">
        <v>2887</v>
      </c>
      <c r="AL90" s="432"/>
      <c r="AM90" s="97" t="s">
        <v>92</v>
      </c>
    </row>
    <row r="91" spans="1:61" ht="21.75" customHeight="1" x14ac:dyDescent="0.25">
      <c r="A91" s="436"/>
      <c r="B91" s="98" t="s">
        <v>93</v>
      </c>
      <c r="C91" s="48">
        <f>C88-C90</f>
        <v>0</v>
      </c>
      <c r="D91" s="48">
        <f t="shared" ref="D91:Y91" si="55">D88-D90</f>
        <v>-40</v>
      </c>
      <c r="E91" s="48">
        <f t="shared" si="55"/>
        <v>34</v>
      </c>
      <c r="F91" s="48">
        <f t="shared" si="55"/>
        <v>23</v>
      </c>
      <c r="G91" s="48">
        <f t="shared" si="55"/>
        <v>-36</v>
      </c>
      <c r="H91" s="48">
        <f t="shared" si="55"/>
        <v>43</v>
      </c>
      <c r="I91" s="48">
        <f t="shared" si="55"/>
        <v>0</v>
      </c>
      <c r="J91" s="48">
        <f t="shared" si="55"/>
        <v>0</v>
      </c>
      <c r="K91" s="48">
        <f t="shared" si="55"/>
        <v>0</v>
      </c>
      <c r="L91" s="48">
        <f t="shared" si="55"/>
        <v>0</v>
      </c>
      <c r="M91" s="48">
        <f t="shared" si="55"/>
        <v>27</v>
      </c>
      <c r="N91" s="48">
        <f t="shared" si="55"/>
        <v>6</v>
      </c>
      <c r="O91" s="48">
        <f t="shared" si="55"/>
        <v>15</v>
      </c>
      <c r="P91" s="48">
        <f t="shared" si="55"/>
        <v>0</v>
      </c>
      <c r="Q91" s="48">
        <f t="shared" si="55"/>
        <v>2</v>
      </c>
      <c r="R91" s="48">
        <f t="shared" si="55"/>
        <v>0</v>
      </c>
      <c r="S91" s="48">
        <f t="shared" si="55"/>
        <v>0</v>
      </c>
      <c r="T91" s="48">
        <f t="shared" si="55"/>
        <v>0</v>
      </c>
      <c r="U91" s="48">
        <f t="shared" si="55"/>
        <v>0</v>
      </c>
      <c r="V91" s="48">
        <f t="shared" si="55"/>
        <v>0</v>
      </c>
      <c r="W91" s="48">
        <f t="shared" si="55"/>
        <v>0</v>
      </c>
      <c r="X91" s="48">
        <f t="shared" si="55"/>
        <v>0</v>
      </c>
      <c r="Y91" s="48">
        <f t="shared" si="55"/>
        <v>0</v>
      </c>
      <c r="Z91" s="129">
        <f t="shared" ref="Z91:AK91" si="56">Z88-Z90</f>
        <v>0</v>
      </c>
      <c r="AA91" s="129">
        <f t="shared" si="56"/>
        <v>-4046</v>
      </c>
      <c r="AB91" s="129">
        <f t="shared" si="56"/>
        <v>-33</v>
      </c>
      <c r="AC91" s="129">
        <f t="shared" si="56"/>
        <v>-3600</v>
      </c>
      <c r="AD91" s="129">
        <f t="shared" si="56"/>
        <v>-3159</v>
      </c>
      <c r="AE91" s="129">
        <f t="shared" si="56"/>
        <v>-3619</v>
      </c>
      <c r="AF91" s="129">
        <f t="shared" si="56"/>
        <v>-3196</v>
      </c>
      <c r="AG91" s="129">
        <f t="shared" si="56"/>
        <v>-6197</v>
      </c>
      <c r="AH91" s="129">
        <f t="shared" si="56"/>
        <v>-1806</v>
      </c>
      <c r="AI91" s="129">
        <f t="shared" si="56"/>
        <v>-3355</v>
      </c>
      <c r="AJ91" s="129">
        <f t="shared" si="56"/>
        <v>-2500</v>
      </c>
      <c r="AK91" s="129">
        <f t="shared" si="56"/>
        <v>-2887</v>
      </c>
      <c r="AL91" s="432"/>
      <c r="AM91" s="98" t="s">
        <v>93</v>
      </c>
    </row>
    <row r="92" spans="1:61" ht="17.25" customHeight="1" x14ac:dyDescent="0.25">
      <c r="A92" s="436"/>
      <c r="B92" s="98" t="s">
        <v>94</v>
      </c>
      <c r="C92" s="44">
        <f>C89-C90</f>
        <v>-48900</v>
      </c>
      <c r="D92" s="44">
        <f t="shared" ref="D92:Y92" si="57">D89-D90</f>
        <v>-40</v>
      </c>
      <c r="E92" s="44">
        <f t="shared" si="57"/>
        <v>34</v>
      </c>
      <c r="F92" s="44">
        <f t="shared" si="57"/>
        <v>23</v>
      </c>
      <c r="G92" s="44">
        <f t="shared" si="57"/>
        <v>-36</v>
      </c>
      <c r="H92" s="44">
        <f t="shared" si="57"/>
        <v>43</v>
      </c>
      <c r="I92" s="44">
        <f t="shared" si="57"/>
        <v>-44</v>
      </c>
      <c r="J92" s="44">
        <f t="shared" si="57"/>
        <v>-17</v>
      </c>
      <c r="K92" s="44">
        <f t="shared" si="57"/>
        <v>42</v>
      </c>
      <c r="L92" s="44">
        <f t="shared" si="57"/>
        <v>-19</v>
      </c>
      <c r="M92" s="44">
        <f t="shared" si="57"/>
        <v>27</v>
      </c>
      <c r="N92" s="44">
        <f t="shared" si="57"/>
        <v>-994</v>
      </c>
      <c r="O92" s="44">
        <f t="shared" si="57"/>
        <v>-1985</v>
      </c>
      <c r="P92" s="44">
        <f t="shared" si="57"/>
        <v>-1760</v>
      </c>
      <c r="Q92" s="44">
        <f t="shared" si="57"/>
        <v>-1498</v>
      </c>
      <c r="R92" s="44">
        <f t="shared" si="57"/>
        <v>-2465</v>
      </c>
      <c r="S92" s="44">
        <f t="shared" si="57"/>
        <v>-55</v>
      </c>
      <c r="T92" s="44">
        <f t="shared" si="57"/>
        <v>-321</v>
      </c>
      <c r="U92" s="44">
        <f t="shared" si="57"/>
        <v>-394</v>
      </c>
      <c r="V92" s="44">
        <f t="shared" si="57"/>
        <v>-221</v>
      </c>
      <c r="W92" s="44">
        <f t="shared" si="57"/>
        <v>-1099</v>
      </c>
      <c r="X92" s="44">
        <f t="shared" si="57"/>
        <v>-1817</v>
      </c>
      <c r="Y92" s="44">
        <f t="shared" si="57"/>
        <v>-2626</v>
      </c>
      <c r="Z92" s="129">
        <f t="shared" ref="Z92:AK92" si="58">Z89-Z90</f>
        <v>-3553</v>
      </c>
      <c r="AA92" s="129">
        <f t="shared" si="58"/>
        <v>-4046</v>
      </c>
      <c r="AB92" s="129">
        <f t="shared" si="58"/>
        <v>-2600</v>
      </c>
      <c r="AC92" s="129">
        <f t="shared" si="58"/>
        <v>-3600</v>
      </c>
      <c r="AD92" s="129">
        <f t="shared" si="58"/>
        <v>-3159</v>
      </c>
      <c r="AE92" s="129">
        <f t="shared" si="58"/>
        <v>-3619</v>
      </c>
      <c r="AF92" s="129">
        <f t="shared" si="58"/>
        <v>-3196</v>
      </c>
      <c r="AG92" s="129">
        <f t="shared" si="58"/>
        <v>-6197</v>
      </c>
      <c r="AH92" s="129">
        <f t="shared" si="58"/>
        <v>-1806</v>
      </c>
      <c r="AI92" s="129">
        <f t="shared" si="58"/>
        <v>-3355</v>
      </c>
      <c r="AJ92" s="129">
        <f t="shared" si="58"/>
        <v>-2500</v>
      </c>
      <c r="AK92" s="129">
        <f t="shared" si="58"/>
        <v>-2887</v>
      </c>
      <c r="AL92" s="432"/>
      <c r="AM92" s="98" t="s">
        <v>94</v>
      </c>
    </row>
    <row r="93" spans="1:61" x14ac:dyDescent="0.25">
      <c r="A93" s="156"/>
      <c r="B93" s="99"/>
      <c r="C93" s="79"/>
      <c r="D93" s="79"/>
      <c r="E93" s="79"/>
      <c r="F93" s="79"/>
      <c r="G93" s="79"/>
      <c r="H93" s="79"/>
      <c r="I93" s="79"/>
      <c r="J93" s="79"/>
      <c r="K93" s="79"/>
      <c r="L93" s="79"/>
      <c r="M93" s="79"/>
      <c r="N93" s="79"/>
      <c r="O93" s="79"/>
      <c r="P93" s="79"/>
      <c r="Q93" s="79"/>
      <c r="R93" s="79"/>
      <c r="S93" s="79"/>
      <c r="T93" s="79"/>
      <c r="U93" s="79"/>
      <c r="V93" s="79"/>
      <c r="W93" s="79"/>
      <c r="X93" s="79"/>
      <c r="Z93" s="131"/>
      <c r="AA93" s="131"/>
      <c r="AB93" s="131"/>
      <c r="AC93" s="131"/>
      <c r="AD93" s="131"/>
      <c r="AE93" s="131"/>
      <c r="AF93" s="131"/>
      <c r="AG93" s="131"/>
      <c r="AH93" s="131"/>
      <c r="AI93" s="131"/>
      <c r="AJ93" s="131"/>
      <c r="AK93" s="131"/>
      <c r="AL93" s="156"/>
      <c r="AM93" s="99"/>
      <c r="BA93">
        <v>84268</v>
      </c>
      <c r="BC93">
        <v>149940</v>
      </c>
      <c r="BE93">
        <v>142636</v>
      </c>
      <c r="BG93">
        <v>104330</v>
      </c>
      <c r="BI93">
        <v>149931</v>
      </c>
    </row>
    <row r="94" spans="1:61" x14ac:dyDescent="0.25">
      <c r="A94" s="446" t="s">
        <v>26</v>
      </c>
      <c r="B94" s="97" t="s">
        <v>1</v>
      </c>
      <c r="C94" s="38">
        <v>303900</v>
      </c>
      <c r="D94" s="38">
        <v>141173</v>
      </c>
      <c r="E94" s="38">
        <v>178593</v>
      </c>
      <c r="F94" s="38">
        <v>126159</v>
      </c>
      <c r="G94" s="38">
        <v>95370</v>
      </c>
      <c r="H94" s="38">
        <v>100078</v>
      </c>
      <c r="I94" s="38">
        <v>107861</v>
      </c>
      <c r="J94" s="38">
        <v>113084</v>
      </c>
      <c r="K94" s="38">
        <v>121148</v>
      </c>
      <c r="L94" s="38">
        <v>200820</v>
      </c>
      <c r="M94" s="38">
        <v>183400</v>
      </c>
      <c r="N94" s="38">
        <v>69500</v>
      </c>
      <c r="O94" s="38">
        <v>72700</v>
      </c>
      <c r="P94" s="38">
        <v>145900</v>
      </c>
      <c r="Q94" s="38">
        <v>224900</v>
      </c>
      <c r="R94" s="38">
        <v>298506</v>
      </c>
      <c r="S94" s="38">
        <v>312781</v>
      </c>
      <c r="T94" s="38">
        <v>344909</v>
      </c>
      <c r="U94" s="38">
        <v>136094</v>
      </c>
      <c r="V94" s="38">
        <v>90579</v>
      </c>
      <c r="W94" s="38">
        <v>84268</v>
      </c>
      <c r="X94" s="38">
        <v>149940</v>
      </c>
      <c r="Y94" s="61">
        <v>142636</v>
      </c>
      <c r="Z94" s="128">
        <v>104330</v>
      </c>
      <c r="AA94" s="128">
        <v>149931</v>
      </c>
      <c r="AB94" s="165">
        <v>202892</v>
      </c>
      <c r="AC94" s="165">
        <v>262061</v>
      </c>
      <c r="AD94" s="165">
        <v>263380</v>
      </c>
      <c r="AE94" s="165">
        <v>416370</v>
      </c>
      <c r="AF94" s="165">
        <v>492680</v>
      </c>
      <c r="AG94" s="165">
        <v>440120</v>
      </c>
      <c r="AH94" s="165">
        <v>201790</v>
      </c>
      <c r="AI94" s="165">
        <v>263410</v>
      </c>
      <c r="AJ94" s="188"/>
      <c r="AK94" s="188"/>
      <c r="AL94" s="447" t="s">
        <v>26</v>
      </c>
      <c r="AM94" s="97" t="s">
        <v>1</v>
      </c>
    </row>
    <row r="95" spans="1:61" x14ac:dyDescent="0.25">
      <c r="A95" s="446"/>
      <c r="B95" s="97" t="s">
        <v>2</v>
      </c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38">
        <v>73510</v>
      </c>
      <c r="O95" s="38">
        <v>76910</v>
      </c>
      <c r="P95" s="38">
        <v>154420</v>
      </c>
      <c r="Q95" s="38">
        <v>237980</v>
      </c>
      <c r="R95" s="38">
        <v>315860</v>
      </c>
      <c r="S95" s="38">
        <v>330970</v>
      </c>
      <c r="T95" s="38">
        <v>364960</v>
      </c>
      <c r="U95" s="38">
        <v>144010</v>
      </c>
      <c r="V95" s="38">
        <v>95850</v>
      </c>
      <c r="W95" s="38">
        <v>89170</v>
      </c>
      <c r="X95" s="38">
        <v>158660</v>
      </c>
      <c r="Y95" s="46">
        <v>150930</v>
      </c>
      <c r="Z95" s="165">
        <v>110400</v>
      </c>
      <c r="AA95" s="165">
        <v>158650</v>
      </c>
      <c r="AB95" s="165">
        <v>214690</v>
      </c>
      <c r="AC95" s="165">
        <v>277300</v>
      </c>
      <c r="AD95" s="165">
        <v>278690</v>
      </c>
      <c r="AE95" s="165">
        <v>416370</v>
      </c>
      <c r="AF95" s="165">
        <v>492680</v>
      </c>
      <c r="AG95" s="165">
        <v>440120</v>
      </c>
      <c r="AH95" s="165">
        <v>353640</v>
      </c>
      <c r="AI95" s="165">
        <v>367740</v>
      </c>
      <c r="AJ95" s="165">
        <v>258530</v>
      </c>
      <c r="AK95" s="188"/>
      <c r="AL95" s="447"/>
      <c r="AM95" s="97" t="s">
        <v>2</v>
      </c>
    </row>
    <row r="96" spans="1:61" x14ac:dyDescent="0.25">
      <c r="A96" s="446"/>
      <c r="B96" s="97" t="s">
        <v>92</v>
      </c>
      <c r="C96" s="40">
        <v>303900</v>
      </c>
      <c r="D96" s="41">
        <v>141173</v>
      </c>
      <c r="E96" s="41">
        <v>178593</v>
      </c>
      <c r="F96" s="41">
        <v>126159</v>
      </c>
      <c r="G96" s="41">
        <v>95370</v>
      </c>
      <c r="H96" s="42">
        <v>100078</v>
      </c>
      <c r="I96" s="42">
        <v>107861</v>
      </c>
      <c r="J96" s="42">
        <v>113084</v>
      </c>
      <c r="K96" s="42">
        <v>121148</v>
      </c>
      <c r="L96" s="42">
        <v>200820</v>
      </c>
      <c r="M96" s="42">
        <v>183403</v>
      </c>
      <c r="N96" s="42">
        <v>69473</v>
      </c>
      <c r="O96" s="42">
        <v>72688</v>
      </c>
      <c r="P96" s="42">
        <v>145932</v>
      </c>
      <c r="Q96" s="42">
        <v>224908</v>
      </c>
      <c r="R96" s="42">
        <v>298506</v>
      </c>
      <c r="S96" s="42">
        <v>312781</v>
      </c>
      <c r="T96" s="42">
        <v>344909</v>
      </c>
      <c r="U96" s="42">
        <v>136094</v>
      </c>
      <c r="V96" s="42">
        <v>90579</v>
      </c>
      <c r="W96" s="42">
        <v>84268</v>
      </c>
      <c r="X96" s="42">
        <v>149940</v>
      </c>
      <c r="Y96" s="49">
        <v>142636</v>
      </c>
      <c r="Z96" s="128">
        <v>104330</v>
      </c>
      <c r="AA96" s="128">
        <v>149900</v>
      </c>
      <c r="AB96" s="128">
        <v>202900</v>
      </c>
      <c r="AC96" s="128">
        <v>262000</v>
      </c>
      <c r="AD96" s="128">
        <v>263380</v>
      </c>
      <c r="AE96" s="128">
        <v>393495</v>
      </c>
      <c r="AF96" s="128">
        <v>465609</v>
      </c>
      <c r="AG96" s="128">
        <v>415942</v>
      </c>
      <c r="AH96" s="128">
        <v>334209</v>
      </c>
      <c r="AI96" s="128">
        <v>347536</v>
      </c>
      <c r="AJ96" s="128">
        <v>244325</v>
      </c>
      <c r="AK96" s="128">
        <v>303177</v>
      </c>
      <c r="AL96" s="447"/>
      <c r="AM96" s="97" t="s">
        <v>92</v>
      </c>
    </row>
    <row r="97" spans="1:59" ht="21.75" customHeight="1" x14ac:dyDescent="0.25">
      <c r="A97" s="446"/>
      <c r="B97" s="98" t="s">
        <v>93</v>
      </c>
      <c r="C97" s="48">
        <f>C94-C96</f>
        <v>0</v>
      </c>
      <c r="D97" s="48">
        <f t="shared" ref="D97:Y97" si="59">D94-D96</f>
        <v>0</v>
      </c>
      <c r="E97" s="48">
        <f t="shared" si="59"/>
        <v>0</v>
      </c>
      <c r="F97" s="48">
        <f t="shared" si="59"/>
        <v>0</v>
      </c>
      <c r="G97" s="48">
        <f t="shared" si="59"/>
        <v>0</v>
      </c>
      <c r="H97" s="48">
        <f t="shared" si="59"/>
        <v>0</v>
      </c>
      <c r="I97" s="48">
        <f t="shared" si="59"/>
        <v>0</v>
      </c>
      <c r="J97" s="48">
        <f t="shared" si="59"/>
        <v>0</v>
      </c>
      <c r="K97" s="48">
        <f t="shared" si="59"/>
        <v>0</v>
      </c>
      <c r="L97" s="48">
        <f t="shared" si="59"/>
        <v>0</v>
      </c>
      <c r="M97" s="48">
        <f t="shared" si="59"/>
        <v>-3</v>
      </c>
      <c r="N97" s="48">
        <f t="shared" si="59"/>
        <v>27</v>
      </c>
      <c r="O97" s="48">
        <f t="shared" si="59"/>
        <v>12</v>
      </c>
      <c r="P97" s="48">
        <f t="shared" si="59"/>
        <v>-32</v>
      </c>
      <c r="Q97" s="48">
        <f t="shared" si="59"/>
        <v>-8</v>
      </c>
      <c r="R97" s="48">
        <f t="shared" si="59"/>
        <v>0</v>
      </c>
      <c r="S97" s="48">
        <f t="shared" si="59"/>
        <v>0</v>
      </c>
      <c r="T97" s="48">
        <f t="shared" si="59"/>
        <v>0</v>
      </c>
      <c r="U97" s="48">
        <f t="shared" si="59"/>
        <v>0</v>
      </c>
      <c r="V97" s="48">
        <f t="shared" si="59"/>
        <v>0</v>
      </c>
      <c r="W97" s="48">
        <f t="shared" si="59"/>
        <v>0</v>
      </c>
      <c r="X97" s="48">
        <f t="shared" si="59"/>
        <v>0</v>
      </c>
      <c r="Y97" s="48">
        <f t="shared" si="59"/>
        <v>0</v>
      </c>
      <c r="Z97" s="129">
        <f t="shared" ref="Z97:AK97" si="60">Z94-Z96</f>
        <v>0</v>
      </c>
      <c r="AA97" s="129">
        <f t="shared" si="60"/>
        <v>31</v>
      </c>
      <c r="AB97" s="129">
        <f t="shared" si="60"/>
        <v>-8</v>
      </c>
      <c r="AC97" s="129">
        <f t="shared" si="60"/>
        <v>61</v>
      </c>
      <c r="AD97" s="129">
        <f t="shared" si="60"/>
        <v>0</v>
      </c>
      <c r="AE97" s="129">
        <f t="shared" si="60"/>
        <v>22875</v>
      </c>
      <c r="AF97" s="129">
        <f t="shared" si="60"/>
        <v>27071</v>
      </c>
      <c r="AG97" s="129">
        <f t="shared" si="60"/>
        <v>24178</v>
      </c>
      <c r="AH97" s="129">
        <f t="shared" si="60"/>
        <v>-132419</v>
      </c>
      <c r="AI97" s="129">
        <f t="shared" si="60"/>
        <v>-84126</v>
      </c>
      <c r="AJ97" s="129">
        <f t="shared" si="60"/>
        <v>-244325</v>
      </c>
      <c r="AK97" s="129">
        <f t="shared" si="60"/>
        <v>-303177</v>
      </c>
      <c r="AL97" s="447"/>
      <c r="AM97" s="98" t="s">
        <v>93</v>
      </c>
    </row>
    <row r="98" spans="1:59" ht="18" customHeight="1" x14ac:dyDescent="0.25">
      <c r="A98" s="446"/>
      <c r="B98" s="98" t="s">
        <v>94</v>
      </c>
      <c r="C98" s="44">
        <v>-303900</v>
      </c>
      <c r="D98" s="44">
        <v>-141173</v>
      </c>
      <c r="E98" s="44">
        <v>-178593</v>
      </c>
      <c r="F98" s="44">
        <v>-126159</v>
      </c>
      <c r="G98" s="44">
        <v>-95370</v>
      </c>
      <c r="H98" s="44">
        <v>-100078</v>
      </c>
      <c r="I98" s="44">
        <v>-107861</v>
      </c>
      <c r="J98" s="44">
        <v>-113084</v>
      </c>
      <c r="K98" s="44">
        <v>-121148</v>
      </c>
      <c r="L98" s="44">
        <v>-200820</v>
      </c>
      <c r="M98" s="44">
        <v>-183403</v>
      </c>
      <c r="N98" s="44">
        <v>-69473</v>
      </c>
      <c r="O98" s="44">
        <v>-72688</v>
      </c>
      <c r="P98" s="44">
        <v>-145932</v>
      </c>
      <c r="Q98" s="44">
        <v>-224908</v>
      </c>
      <c r="R98" s="44">
        <v>-298506</v>
      </c>
      <c r="S98" s="44">
        <v>-312781</v>
      </c>
      <c r="T98" s="44">
        <v>-344909</v>
      </c>
      <c r="U98" s="44">
        <v>-136094</v>
      </c>
      <c r="V98" s="44">
        <v>-90579</v>
      </c>
      <c r="W98" s="44">
        <v>-84268</v>
      </c>
      <c r="X98" s="44">
        <v>-149940</v>
      </c>
      <c r="Y98" s="44">
        <v>-149939</v>
      </c>
      <c r="Z98" s="129">
        <f t="shared" ref="Z98:AK98" si="61">Z95-Z96</f>
        <v>6070</v>
      </c>
      <c r="AA98" s="129">
        <f t="shared" si="61"/>
        <v>8750</v>
      </c>
      <c r="AB98" s="129">
        <f t="shared" si="61"/>
        <v>11790</v>
      </c>
      <c r="AC98" s="129">
        <f t="shared" si="61"/>
        <v>15300</v>
      </c>
      <c r="AD98" s="129">
        <f t="shared" si="61"/>
        <v>15310</v>
      </c>
      <c r="AE98" s="129">
        <f t="shared" si="61"/>
        <v>22875</v>
      </c>
      <c r="AF98" s="129">
        <f t="shared" si="61"/>
        <v>27071</v>
      </c>
      <c r="AG98" s="129">
        <f t="shared" si="61"/>
        <v>24178</v>
      </c>
      <c r="AH98" s="129">
        <f t="shared" si="61"/>
        <v>19431</v>
      </c>
      <c r="AI98" s="129">
        <f t="shared" si="61"/>
        <v>20204</v>
      </c>
      <c r="AJ98" s="129">
        <f t="shared" si="61"/>
        <v>14205</v>
      </c>
      <c r="AK98" s="129">
        <f t="shared" si="61"/>
        <v>-303177</v>
      </c>
      <c r="AL98" s="447"/>
      <c r="AM98" s="98" t="s">
        <v>94</v>
      </c>
    </row>
    <row r="99" spans="1:59" x14ac:dyDescent="0.25">
      <c r="A99" s="156"/>
      <c r="B99" s="99"/>
      <c r="C99" s="79"/>
      <c r="D99" s="79"/>
      <c r="E99" s="79"/>
      <c r="F99" s="79"/>
      <c r="G99" s="79"/>
      <c r="H99" s="79"/>
      <c r="I99" s="79"/>
      <c r="J99" s="79"/>
      <c r="K99" s="79"/>
      <c r="L99" s="79"/>
      <c r="M99" s="79"/>
      <c r="N99" s="79"/>
      <c r="O99" s="79"/>
      <c r="P99" s="79"/>
      <c r="Q99" s="79"/>
      <c r="R99" s="79"/>
      <c r="S99" s="79"/>
      <c r="T99" s="79"/>
      <c r="U99" s="79"/>
      <c r="V99" s="79"/>
      <c r="W99" s="79"/>
      <c r="X99" s="79"/>
      <c r="Z99" s="131"/>
      <c r="AA99" s="131"/>
      <c r="AB99" s="131"/>
      <c r="AC99" s="131"/>
      <c r="AD99" s="131"/>
      <c r="AE99" s="131"/>
      <c r="AF99" s="131"/>
      <c r="AG99" s="131"/>
      <c r="AH99" s="403">
        <f>(AH96*100)/AH95-100</f>
        <v>-5.4945707499151695</v>
      </c>
      <c r="AI99" s="403">
        <f>(AI96*100)/AI95-100</f>
        <v>-5.4940990917496038</v>
      </c>
      <c r="AJ99" s="403">
        <f>(AJ96*100)/AJ95-100</f>
        <v>-5.4945267473794104</v>
      </c>
      <c r="AK99" s="403" t="e">
        <f>(AK96*100)/AK95-100</f>
        <v>#DIV/0!</v>
      </c>
      <c r="AL99" s="156"/>
      <c r="AM99" s="99"/>
      <c r="BA99">
        <v>75</v>
      </c>
      <c r="BB99" t="s">
        <v>75</v>
      </c>
      <c r="BC99">
        <v>50</v>
      </c>
      <c r="BD99" t="s">
        <v>75</v>
      </c>
      <c r="BE99">
        <v>35</v>
      </c>
      <c r="BF99" t="s">
        <v>75</v>
      </c>
      <c r="BG99">
        <v>20</v>
      </c>
    </row>
    <row r="100" spans="1:59" x14ac:dyDescent="0.25">
      <c r="A100" s="446" t="s">
        <v>27</v>
      </c>
      <c r="B100" s="97" t="s">
        <v>1</v>
      </c>
      <c r="C100" s="38">
        <v>31000</v>
      </c>
      <c r="D100" s="38">
        <v>13000</v>
      </c>
      <c r="E100" s="38">
        <v>3760</v>
      </c>
      <c r="F100" s="38">
        <v>6250</v>
      </c>
      <c r="G100" s="38">
        <v>1760</v>
      </c>
      <c r="H100" s="38">
        <v>1152</v>
      </c>
      <c r="I100" s="38">
        <v>1728</v>
      </c>
      <c r="J100" s="38">
        <v>4100</v>
      </c>
      <c r="K100" s="38">
        <v>1900</v>
      </c>
      <c r="L100" s="38">
        <v>700</v>
      </c>
      <c r="M100" s="38">
        <v>700</v>
      </c>
      <c r="N100" s="38">
        <v>900</v>
      </c>
      <c r="O100" s="38">
        <v>400</v>
      </c>
      <c r="P100" s="38">
        <v>800</v>
      </c>
      <c r="Q100" s="38">
        <v>700</v>
      </c>
      <c r="R100" s="38">
        <v>300</v>
      </c>
      <c r="S100" s="38">
        <v>350</v>
      </c>
      <c r="T100" s="38">
        <v>1522</v>
      </c>
      <c r="U100" s="38">
        <v>72</v>
      </c>
      <c r="V100" s="38">
        <v>96</v>
      </c>
      <c r="W100" s="38">
        <v>75</v>
      </c>
      <c r="X100" s="38">
        <v>50</v>
      </c>
      <c r="Y100" s="49">
        <v>35</v>
      </c>
      <c r="Z100" s="165">
        <v>20</v>
      </c>
      <c r="AA100" s="165">
        <v>36</v>
      </c>
      <c r="AB100" s="165">
        <v>0</v>
      </c>
      <c r="AC100" s="165">
        <v>241</v>
      </c>
      <c r="AD100" s="165">
        <v>79</v>
      </c>
      <c r="AE100" s="165">
        <v>171</v>
      </c>
      <c r="AF100" s="165">
        <v>120</v>
      </c>
      <c r="AG100" s="165">
        <v>0</v>
      </c>
      <c r="AH100" s="188"/>
      <c r="AI100" s="188"/>
      <c r="AJ100" s="188"/>
      <c r="AK100" s="188"/>
      <c r="AL100" s="447" t="s">
        <v>27</v>
      </c>
      <c r="AM100" s="97" t="s">
        <v>1</v>
      </c>
    </row>
    <row r="101" spans="1:59" x14ac:dyDescent="0.25">
      <c r="A101" s="446"/>
      <c r="B101" s="97" t="s">
        <v>2</v>
      </c>
      <c r="C101" s="78"/>
      <c r="D101" s="78"/>
      <c r="E101" s="78"/>
      <c r="F101" s="78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78"/>
      <c r="R101" s="78"/>
      <c r="S101" s="78"/>
      <c r="T101" s="78"/>
      <c r="U101" s="78"/>
      <c r="V101" s="78"/>
      <c r="W101" s="78"/>
      <c r="X101" s="78"/>
      <c r="Y101" s="63"/>
      <c r="Z101" s="166"/>
      <c r="AA101" s="166"/>
      <c r="AB101" s="166"/>
      <c r="AC101" s="166"/>
      <c r="AD101" s="166"/>
      <c r="AE101" s="166"/>
      <c r="AF101" s="166"/>
      <c r="AG101" s="166"/>
      <c r="AH101" s="166"/>
      <c r="AI101" s="166"/>
      <c r="AJ101" s="166"/>
      <c r="AK101" s="166"/>
      <c r="AL101" s="447"/>
      <c r="AM101" s="97" t="s">
        <v>2</v>
      </c>
    </row>
    <row r="102" spans="1:59" x14ac:dyDescent="0.25">
      <c r="A102" s="446"/>
      <c r="B102" s="97" t="s">
        <v>92</v>
      </c>
      <c r="C102" s="40">
        <v>127200</v>
      </c>
      <c r="D102" s="41">
        <v>53192</v>
      </c>
      <c r="E102" s="41">
        <v>15438</v>
      </c>
      <c r="F102" s="41">
        <v>25648</v>
      </c>
      <c r="G102" s="41">
        <v>7237</v>
      </c>
      <c r="H102" s="42">
        <v>4821</v>
      </c>
      <c r="I102" s="42">
        <v>7246</v>
      </c>
      <c r="J102" s="42">
        <v>4108</v>
      </c>
      <c r="K102" s="42">
        <v>1884</v>
      </c>
      <c r="L102" s="42">
        <v>735</v>
      </c>
      <c r="M102" s="42">
        <v>690</v>
      </c>
      <c r="N102" s="42">
        <v>881</v>
      </c>
      <c r="O102" s="42">
        <v>388</v>
      </c>
      <c r="P102" s="42">
        <v>794</v>
      </c>
      <c r="Q102" s="42">
        <v>710</v>
      </c>
      <c r="R102" s="42">
        <v>1060</v>
      </c>
      <c r="S102" s="42">
        <v>538</v>
      </c>
      <c r="T102" s="42">
        <v>1522</v>
      </c>
      <c r="U102" s="42">
        <v>72</v>
      </c>
      <c r="V102" s="42">
        <v>96</v>
      </c>
      <c r="W102" s="42">
        <v>0</v>
      </c>
      <c r="X102" s="42">
        <v>0</v>
      </c>
      <c r="Y102" s="42">
        <v>0</v>
      </c>
      <c r="Z102" s="169">
        <v>20</v>
      </c>
      <c r="AA102" s="169">
        <v>36</v>
      </c>
      <c r="AB102" s="169">
        <v>0</v>
      </c>
      <c r="AC102" s="169">
        <v>241</v>
      </c>
      <c r="AD102" s="169">
        <v>79</v>
      </c>
      <c r="AE102" s="169">
        <v>0</v>
      </c>
      <c r="AF102" s="169">
        <v>119</v>
      </c>
      <c r="AG102" s="169">
        <v>0</v>
      </c>
      <c r="AH102" s="169">
        <v>36</v>
      </c>
      <c r="AI102" s="169">
        <v>134</v>
      </c>
      <c r="AJ102" s="169">
        <v>200</v>
      </c>
      <c r="AK102" s="169">
        <v>487</v>
      </c>
      <c r="AL102" s="447"/>
      <c r="AM102" s="97" t="s">
        <v>92</v>
      </c>
    </row>
    <row r="103" spans="1:59" ht="21.75" customHeight="1" x14ac:dyDescent="0.25">
      <c r="A103" s="446"/>
      <c r="B103" s="98" t="s">
        <v>93</v>
      </c>
      <c r="C103" s="48">
        <f>C100-C102</f>
        <v>-96200</v>
      </c>
      <c r="D103" s="48">
        <f t="shared" ref="D103:Y103" si="62">D100-D102</f>
        <v>-40192</v>
      </c>
      <c r="E103" s="48">
        <f t="shared" si="62"/>
        <v>-11678</v>
      </c>
      <c r="F103" s="48">
        <f t="shared" si="62"/>
        <v>-19398</v>
      </c>
      <c r="G103" s="48">
        <f t="shared" si="62"/>
        <v>-5477</v>
      </c>
      <c r="H103" s="48">
        <f t="shared" si="62"/>
        <v>-3669</v>
      </c>
      <c r="I103" s="48">
        <f t="shared" si="62"/>
        <v>-5518</v>
      </c>
      <c r="J103" s="48">
        <f t="shared" si="62"/>
        <v>-8</v>
      </c>
      <c r="K103" s="48">
        <f t="shared" si="62"/>
        <v>16</v>
      </c>
      <c r="L103" s="48">
        <f t="shared" si="62"/>
        <v>-35</v>
      </c>
      <c r="M103" s="48">
        <f t="shared" si="62"/>
        <v>10</v>
      </c>
      <c r="N103" s="48">
        <f t="shared" si="62"/>
        <v>19</v>
      </c>
      <c r="O103" s="48">
        <f t="shared" si="62"/>
        <v>12</v>
      </c>
      <c r="P103" s="48">
        <f t="shared" si="62"/>
        <v>6</v>
      </c>
      <c r="Q103" s="48">
        <f t="shared" si="62"/>
        <v>-10</v>
      </c>
      <c r="R103" s="48">
        <f t="shared" si="62"/>
        <v>-760</v>
      </c>
      <c r="S103" s="48">
        <f t="shared" si="62"/>
        <v>-188</v>
      </c>
      <c r="T103" s="48">
        <f t="shared" si="62"/>
        <v>0</v>
      </c>
      <c r="U103" s="48">
        <f t="shared" si="62"/>
        <v>0</v>
      </c>
      <c r="V103" s="48">
        <f t="shared" si="62"/>
        <v>0</v>
      </c>
      <c r="W103" s="48">
        <f t="shared" si="62"/>
        <v>75</v>
      </c>
      <c r="X103" s="48">
        <f t="shared" si="62"/>
        <v>50</v>
      </c>
      <c r="Y103" s="48">
        <f t="shared" si="62"/>
        <v>35</v>
      </c>
      <c r="Z103" s="129">
        <f t="shared" ref="Z103:AK103" si="63">Z100-Z102</f>
        <v>0</v>
      </c>
      <c r="AA103" s="129">
        <f t="shared" si="63"/>
        <v>0</v>
      </c>
      <c r="AB103" s="129">
        <f t="shared" si="63"/>
        <v>0</v>
      </c>
      <c r="AC103" s="129">
        <f t="shared" si="63"/>
        <v>0</v>
      </c>
      <c r="AD103" s="129">
        <f t="shared" si="63"/>
        <v>0</v>
      </c>
      <c r="AE103" s="129">
        <f t="shared" si="63"/>
        <v>171</v>
      </c>
      <c r="AF103" s="129">
        <f t="shared" si="63"/>
        <v>1</v>
      </c>
      <c r="AG103" s="129">
        <f t="shared" si="63"/>
        <v>0</v>
      </c>
      <c r="AH103" s="129">
        <f t="shared" si="63"/>
        <v>-36</v>
      </c>
      <c r="AI103" s="129">
        <f t="shared" si="63"/>
        <v>-134</v>
      </c>
      <c r="AJ103" s="129">
        <f t="shared" si="63"/>
        <v>-200</v>
      </c>
      <c r="AK103" s="129">
        <f t="shared" si="63"/>
        <v>-487</v>
      </c>
      <c r="AL103" s="447"/>
      <c r="AM103" s="98" t="s">
        <v>93</v>
      </c>
    </row>
    <row r="104" spans="1:59" ht="17.25" customHeight="1" x14ac:dyDescent="0.25">
      <c r="A104" s="446"/>
      <c r="B104" s="98" t="s">
        <v>94</v>
      </c>
      <c r="C104" s="44">
        <f>C101-C102</f>
        <v>-127200</v>
      </c>
      <c r="D104" s="44">
        <f t="shared" ref="D104:Y104" si="64">D101-D102</f>
        <v>-53192</v>
      </c>
      <c r="E104" s="44">
        <f t="shared" si="64"/>
        <v>-15438</v>
      </c>
      <c r="F104" s="44">
        <f t="shared" si="64"/>
        <v>-25648</v>
      </c>
      <c r="G104" s="44">
        <f t="shared" si="64"/>
        <v>-7237</v>
      </c>
      <c r="H104" s="44">
        <f t="shared" si="64"/>
        <v>-4821</v>
      </c>
      <c r="I104" s="44">
        <f t="shared" si="64"/>
        <v>-7246</v>
      </c>
      <c r="J104" s="44">
        <f t="shared" si="64"/>
        <v>-4108</v>
      </c>
      <c r="K104" s="44">
        <f t="shared" si="64"/>
        <v>-1884</v>
      </c>
      <c r="L104" s="44">
        <f t="shared" si="64"/>
        <v>-735</v>
      </c>
      <c r="M104" s="44">
        <f t="shared" si="64"/>
        <v>-690</v>
      </c>
      <c r="N104" s="44">
        <f t="shared" si="64"/>
        <v>-881</v>
      </c>
      <c r="O104" s="44">
        <f t="shared" si="64"/>
        <v>-388</v>
      </c>
      <c r="P104" s="44">
        <f t="shared" si="64"/>
        <v>-794</v>
      </c>
      <c r="Q104" s="44">
        <f t="shared" si="64"/>
        <v>-710</v>
      </c>
      <c r="R104" s="44">
        <f t="shared" si="64"/>
        <v>-1060</v>
      </c>
      <c r="S104" s="44">
        <f t="shared" si="64"/>
        <v>-538</v>
      </c>
      <c r="T104" s="44">
        <f t="shared" si="64"/>
        <v>-1522</v>
      </c>
      <c r="U104" s="44">
        <f t="shared" si="64"/>
        <v>-72</v>
      </c>
      <c r="V104" s="44">
        <f t="shared" si="64"/>
        <v>-96</v>
      </c>
      <c r="W104" s="44">
        <f t="shared" si="64"/>
        <v>0</v>
      </c>
      <c r="X104" s="44">
        <f t="shared" si="64"/>
        <v>0</v>
      </c>
      <c r="Y104" s="44">
        <f t="shared" si="64"/>
        <v>0</v>
      </c>
      <c r="Z104" s="129">
        <f t="shared" ref="Z104:AK104" si="65">Z101-Z102</f>
        <v>-20</v>
      </c>
      <c r="AA104" s="129">
        <f t="shared" si="65"/>
        <v>-36</v>
      </c>
      <c r="AB104" s="129">
        <f t="shared" si="65"/>
        <v>0</v>
      </c>
      <c r="AC104" s="129">
        <f t="shared" si="65"/>
        <v>-241</v>
      </c>
      <c r="AD104" s="129">
        <f t="shared" si="65"/>
        <v>-79</v>
      </c>
      <c r="AE104" s="129">
        <f t="shared" si="65"/>
        <v>0</v>
      </c>
      <c r="AF104" s="129">
        <f t="shared" si="65"/>
        <v>-119</v>
      </c>
      <c r="AG104" s="129">
        <f t="shared" si="65"/>
        <v>0</v>
      </c>
      <c r="AH104" s="129">
        <f t="shared" si="65"/>
        <v>-36</v>
      </c>
      <c r="AI104" s="129">
        <f t="shared" si="65"/>
        <v>-134</v>
      </c>
      <c r="AJ104" s="129">
        <f t="shared" si="65"/>
        <v>-200</v>
      </c>
      <c r="AK104" s="129">
        <f t="shared" si="65"/>
        <v>-487</v>
      </c>
      <c r="AL104" s="447"/>
      <c r="AM104" s="98" t="s">
        <v>94</v>
      </c>
    </row>
    <row r="105" spans="1:59" x14ac:dyDescent="0.25">
      <c r="A105" s="156"/>
      <c r="B105" s="101"/>
      <c r="C105" s="46"/>
      <c r="D105" s="46"/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46"/>
      <c r="W105" s="46"/>
      <c r="X105" s="46"/>
      <c r="Z105" s="132"/>
      <c r="AA105" s="132"/>
      <c r="AB105" s="132"/>
      <c r="AC105" s="132"/>
      <c r="AD105" s="132"/>
      <c r="AE105" s="132"/>
      <c r="AF105" s="132"/>
      <c r="AG105" s="132"/>
      <c r="AH105" s="132"/>
      <c r="AI105" s="132"/>
      <c r="AJ105" s="132"/>
      <c r="AK105" s="132"/>
      <c r="AL105" s="156"/>
      <c r="AM105" s="101"/>
    </row>
    <row r="106" spans="1:59" x14ac:dyDescent="0.25">
      <c r="A106" s="443" t="s">
        <v>28</v>
      </c>
      <c r="B106" s="97" t="s">
        <v>1</v>
      </c>
      <c r="C106" s="38">
        <v>6300</v>
      </c>
      <c r="D106" s="38">
        <v>484</v>
      </c>
      <c r="E106" s="38">
        <v>200</v>
      </c>
      <c r="F106" s="38">
        <v>75</v>
      </c>
      <c r="G106" s="38">
        <v>13</v>
      </c>
      <c r="H106" s="38">
        <v>40</v>
      </c>
      <c r="I106" s="38">
        <v>21</v>
      </c>
      <c r="J106" s="38">
        <v>20</v>
      </c>
      <c r="K106" s="38">
        <v>22</v>
      </c>
      <c r="L106" s="38">
        <v>18</v>
      </c>
      <c r="M106" s="38">
        <v>18</v>
      </c>
      <c r="N106" s="92"/>
      <c r="O106" s="85"/>
      <c r="P106" s="38">
        <v>0</v>
      </c>
      <c r="Q106" s="38">
        <v>0</v>
      </c>
      <c r="R106" s="38">
        <v>0</v>
      </c>
      <c r="S106" s="38">
        <v>0</v>
      </c>
      <c r="T106" s="38">
        <v>0</v>
      </c>
      <c r="U106" s="38">
        <v>0</v>
      </c>
      <c r="V106" s="38">
        <v>0</v>
      </c>
      <c r="W106" s="38">
        <v>0</v>
      </c>
      <c r="X106" s="38">
        <v>0</v>
      </c>
      <c r="Y106" s="93">
        <v>0</v>
      </c>
      <c r="Z106" s="165">
        <v>0</v>
      </c>
      <c r="AA106" s="165">
        <v>0</v>
      </c>
      <c r="AB106" s="188"/>
      <c r="AC106" s="188"/>
      <c r="AD106" s="188"/>
      <c r="AE106" s="188"/>
      <c r="AF106" s="188"/>
      <c r="AG106" s="188"/>
      <c r="AH106" s="188"/>
      <c r="AI106" s="188"/>
      <c r="AJ106" s="188"/>
      <c r="AK106" s="188"/>
      <c r="AL106" s="431" t="s">
        <v>28</v>
      </c>
      <c r="AM106" s="97" t="s">
        <v>1</v>
      </c>
    </row>
    <row r="107" spans="1:59" x14ac:dyDescent="0.25">
      <c r="A107" s="436"/>
      <c r="B107" s="97" t="s">
        <v>2</v>
      </c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92"/>
      <c r="O107" s="85"/>
      <c r="P107" s="85"/>
      <c r="Q107" s="85"/>
      <c r="R107" s="85"/>
      <c r="S107" s="85"/>
      <c r="T107" s="85"/>
      <c r="U107" s="85"/>
      <c r="V107" s="85"/>
      <c r="W107" s="85"/>
      <c r="X107" s="85"/>
      <c r="Y107" s="63"/>
      <c r="Z107" s="166"/>
      <c r="AA107" s="166"/>
      <c r="AB107" s="166"/>
      <c r="AC107" s="166"/>
      <c r="AD107" s="166"/>
      <c r="AE107" s="166"/>
      <c r="AF107" s="166"/>
      <c r="AG107" s="166"/>
      <c r="AH107" s="166"/>
      <c r="AI107" s="166"/>
      <c r="AJ107" s="166"/>
      <c r="AK107" s="166"/>
      <c r="AL107" s="432"/>
      <c r="AM107" s="97" t="s">
        <v>2</v>
      </c>
    </row>
    <row r="108" spans="1:59" x14ac:dyDescent="0.25">
      <c r="A108" s="436"/>
      <c r="B108" s="97" t="s">
        <v>92</v>
      </c>
      <c r="C108" s="40">
        <v>484</v>
      </c>
      <c r="D108" s="41">
        <v>484</v>
      </c>
      <c r="E108" s="41">
        <v>200</v>
      </c>
      <c r="F108" s="41">
        <v>75</v>
      </c>
      <c r="G108" s="41">
        <v>0</v>
      </c>
      <c r="H108" s="42">
        <v>40</v>
      </c>
      <c r="I108" s="42">
        <v>21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172">
        <v>0</v>
      </c>
      <c r="AA108" s="172">
        <v>0</v>
      </c>
      <c r="AB108" s="172">
        <v>0</v>
      </c>
      <c r="AC108" s="172">
        <v>59</v>
      </c>
      <c r="AD108" s="356">
        <v>0</v>
      </c>
      <c r="AE108" s="356">
        <v>0</v>
      </c>
      <c r="AF108" s="356">
        <v>0</v>
      </c>
      <c r="AG108" s="356">
        <v>0</v>
      </c>
      <c r="AH108" s="356">
        <v>0</v>
      </c>
      <c r="AI108" s="356">
        <v>0</v>
      </c>
      <c r="AJ108" s="356">
        <v>0</v>
      </c>
      <c r="AK108" s="356">
        <v>0</v>
      </c>
      <c r="AL108" s="432"/>
      <c r="AM108" s="97" t="s">
        <v>92</v>
      </c>
    </row>
    <row r="109" spans="1:59" ht="21" customHeight="1" x14ac:dyDescent="0.25">
      <c r="A109" s="436"/>
      <c r="B109" s="98" t="s">
        <v>93</v>
      </c>
      <c r="C109" s="48">
        <f>C106-C108</f>
        <v>5816</v>
      </c>
      <c r="D109" s="48">
        <f t="shared" ref="D109:Y109" si="66">D106-D108</f>
        <v>0</v>
      </c>
      <c r="E109" s="48">
        <f t="shared" si="66"/>
        <v>0</v>
      </c>
      <c r="F109" s="48">
        <f t="shared" si="66"/>
        <v>0</v>
      </c>
      <c r="G109" s="48">
        <f t="shared" si="66"/>
        <v>13</v>
      </c>
      <c r="H109" s="48">
        <f t="shared" si="66"/>
        <v>0</v>
      </c>
      <c r="I109" s="48">
        <f t="shared" si="66"/>
        <v>0</v>
      </c>
      <c r="J109" s="48">
        <f t="shared" si="66"/>
        <v>20</v>
      </c>
      <c r="K109" s="48">
        <f t="shared" si="66"/>
        <v>22</v>
      </c>
      <c r="L109" s="48">
        <f t="shared" si="66"/>
        <v>18</v>
      </c>
      <c r="M109" s="48">
        <f t="shared" si="66"/>
        <v>18</v>
      </c>
      <c r="N109" s="48">
        <f t="shared" si="66"/>
        <v>0</v>
      </c>
      <c r="O109" s="48">
        <f t="shared" si="66"/>
        <v>0</v>
      </c>
      <c r="P109" s="48">
        <f t="shared" si="66"/>
        <v>0</v>
      </c>
      <c r="Q109" s="48">
        <f t="shared" si="66"/>
        <v>0</v>
      </c>
      <c r="R109" s="48">
        <f t="shared" si="66"/>
        <v>0</v>
      </c>
      <c r="S109" s="48">
        <f t="shared" si="66"/>
        <v>0</v>
      </c>
      <c r="T109" s="48">
        <f t="shared" si="66"/>
        <v>0</v>
      </c>
      <c r="U109" s="48">
        <f t="shared" si="66"/>
        <v>0</v>
      </c>
      <c r="V109" s="48">
        <f t="shared" si="66"/>
        <v>0</v>
      </c>
      <c r="W109" s="48">
        <f t="shared" si="66"/>
        <v>0</v>
      </c>
      <c r="X109" s="48">
        <f t="shared" si="66"/>
        <v>0</v>
      </c>
      <c r="Y109" s="48">
        <f t="shared" si="66"/>
        <v>0</v>
      </c>
      <c r="Z109" s="129">
        <f t="shared" ref="Z109:AK109" si="67">Z106-Z108</f>
        <v>0</v>
      </c>
      <c r="AA109" s="129">
        <f t="shared" si="67"/>
        <v>0</v>
      </c>
      <c r="AB109" s="129">
        <f t="shared" si="67"/>
        <v>0</v>
      </c>
      <c r="AC109" s="129">
        <f t="shared" si="67"/>
        <v>-59</v>
      </c>
      <c r="AD109" s="129">
        <f t="shared" si="67"/>
        <v>0</v>
      </c>
      <c r="AE109" s="129">
        <f t="shared" si="67"/>
        <v>0</v>
      </c>
      <c r="AF109" s="129">
        <f t="shared" si="67"/>
        <v>0</v>
      </c>
      <c r="AG109" s="129">
        <f t="shared" si="67"/>
        <v>0</v>
      </c>
      <c r="AH109" s="129">
        <f t="shared" si="67"/>
        <v>0</v>
      </c>
      <c r="AI109" s="129">
        <f t="shared" si="67"/>
        <v>0</v>
      </c>
      <c r="AJ109" s="129">
        <f t="shared" si="67"/>
        <v>0</v>
      </c>
      <c r="AK109" s="129">
        <f t="shared" si="67"/>
        <v>0</v>
      </c>
      <c r="AL109" s="432"/>
      <c r="AM109" s="98" t="s">
        <v>93</v>
      </c>
    </row>
    <row r="110" spans="1:59" ht="19.5" customHeight="1" x14ac:dyDescent="0.25">
      <c r="A110" s="436"/>
      <c r="B110" s="98" t="s">
        <v>94</v>
      </c>
      <c r="C110" s="44">
        <f>C107-C108</f>
        <v>-484</v>
      </c>
      <c r="D110" s="44">
        <f t="shared" ref="D110:Y110" si="68">D107-D108</f>
        <v>-484</v>
      </c>
      <c r="E110" s="44">
        <f t="shared" si="68"/>
        <v>-200</v>
      </c>
      <c r="F110" s="44">
        <f t="shared" si="68"/>
        <v>-75</v>
      </c>
      <c r="G110" s="44">
        <f t="shared" si="68"/>
        <v>0</v>
      </c>
      <c r="H110" s="44">
        <f t="shared" si="68"/>
        <v>-40</v>
      </c>
      <c r="I110" s="44">
        <f t="shared" si="68"/>
        <v>-21</v>
      </c>
      <c r="J110" s="44">
        <f t="shared" si="68"/>
        <v>0</v>
      </c>
      <c r="K110" s="44">
        <f t="shared" si="68"/>
        <v>0</v>
      </c>
      <c r="L110" s="44">
        <f t="shared" si="68"/>
        <v>0</v>
      </c>
      <c r="M110" s="44">
        <f t="shared" si="68"/>
        <v>0</v>
      </c>
      <c r="N110" s="44">
        <f t="shared" si="68"/>
        <v>0</v>
      </c>
      <c r="O110" s="44">
        <f t="shared" si="68"/>
        <v>0</v>
      </c>
      <c r="P110" s="44">
        <f t="shared" si="68"/>
        <v>0</v>
      </c>
      <c r="Q110" s="44">
        <f t="shared" si="68"/>
        <v>0</v>
      </c>
      <c r="R110" s="44">
        <f t="shared" si="68"/>
        <v>0</v>
      </c>
      <c r="S110" s="44">
        <f t="shared" si="68"/>
        <v>0</v>
      </c>
      <c r="T110" s="44">
        <f t="shared" si="68"/>
        <v>0</v>
      </c>
      <c r="U110" s="44">
        <f t="shared" si="68"/>
        <v>0</v>
      </c>
      <c r="V110" s="44">
        <f t="shared" si="68"/>
        <v>0</v>
      </c>
      <c r="W110" s="44">
        <f t="shared" si="68"/>
        <v>0</v>
      </c>
      <c r="X110" s="44">
        <f t="shared" si="68"/>
        <v>0</v>
      </c>
      <c r="Y110" s="44">
        <f t="shared" si="68"/>
        <v>0</v>
      </c>
      <c r="Z110" s="129">
        <f t="shared" ref="Z110:AK110" si="69">Z107-Z108</f>
        <v>0</v>
      </c>
      <c r="AA110" s="129">
        <f t="shared" si="69"/>
        <v>0</v>
      </c>
      <c r="AB110" s="129">
        <f t="shared" si="69"/>
        <v>0</v>
      </c>
      <c r="AC110" s="129">
        <f t="shared" si="69"/>
        <v>-59</v>
      </c>
      <c r="AD110" s="129">
        <f t="shared" si="69"/>
        <v>0</v>
      </c>
      <c r="AE110" s="129">
        <f t="shared" si="69"/>
        <v>0</v>
      </c>
      <c r="AF110" s="129">
        <f t="shared" si="69"/>
        <v>0</v>
      </c>
      <c r="AG110" s="129">
        <f t="shared" si="69"/>
        <v>0</v>
      </c>
      <c r="AH110" s="129">
        <f t="shared" si="69"/>
        <v>0</v>
      </c>
      <c r="AI110" s="129">
        <f t="shared" si="69"/>
        <v>0</v>
      </c>
      <c r="AJ110" s="129">
        <f t="shared" si="69"/>
        <v>0</v>
      </c>
      <c r="AK110" s="129">
        <f t="shared" si="69"/>
        <v>0</v>
      </c>
      <c r="AL110" s="432"/>
      <c r="AM110" s="98" t="s">
        <v>94</v>
      </c>
    </row>
    <row r="111" spans="1:59" x14ac:dyDescent="0.25">
      <c r="A111" s="156"/>
      <c r="B111" s="99"/>
      <c r="C111" s="79"/>
      <c r="D111" s="79"/>
      <c r="E111" s="79"/>
      <c r="F111" s="79"/>
      <c r="G111" s="79"/>
      <c r="H111" s="79"/>
      <c r="I111" s="79"/>
      <c r="J111" s="79"/>
      <c r="K111" s="79"/>
      <c r="L111" s="79"/>
      <c r="M111" s="79"/>
      <c r="N111" s="79"/>
      <c r="O111" s="79"/>
      <c r="P111" s="79"/>
      <c r="Q111" s="79"/>
      <c r="R111" s="79"/>
      <c r="S111" s="79"/>
      <c r="T111" s="79"/>
      <c r="U111" s="79"/>
      <c r="V111" s="79"/>
      <c r="W111" s="79"/>
      <c r="X111" s="79"/>
      <c r="Z111" s="131"/>
      <c r="AA111" s="131"/>
      <c r="AB111" s="131"/>
      <c r="AC111" s="131"/>
      <c r="AD111" s="131"/>
      <c r="AE111" s="131"/>
      <c r="AF111" s="131"/>
      <c r="AG111" s="131"/>
      <c r="AH111" s="131"/>
      <c r="AI111" s="131"/>
      <c r="AJ111" s="131"/>
      <c r="AK111" s="131"/>
      <c r="AL111" s="156"/>
      <c r="AM111" s="99"/>
    </row>
    <row r="112" spans="1:59" x14ac:dyDescent="0.25">
      <c r="A112" s="429" t="s">
        <v>29</v>
      </c>
      <c r="B112" s="97" t="s">
        <v>1</v>
      </c>
      <c r="C112" s="38">
        <v>27500</v>
      </c>
      <c r="D112" s="38">
        <v>14200</v>
      </c>
      <c r="E112" s="38">
        <v>13900</v>
      </c>
      <c r="F112" s="38">
        <v>7600</v>
      </c>
      <c r="G112" s="38">
        <v>10403</v>
      </c>
      <c r="H112" s="38">
        <v>12993</v>
      </c>
      <c r="I112" s="38">
        <v>13358</v>
      </c>
      <c r="J112" s="38">
        <v>12092</v>
      </c>
      <c r="K112" s="38">
        <v>18100</v>
      </c>
      <c r="L112" s="38">
        <v>17536</v>
      </c>
      <c r="M112" s="38">
        <v>14800</v>
      </c>
      <c r="N112" s="38">
        <v>10900</v>
      </c>
      <c r="O112" s="38">
        <v>10100</v>
      </c>
      <c r="P112" s="38">
        <v>16000</v>
      </c>
      <c r="Q112" s="38">
        <v>7900</v>
      </c>
      <c r="R112" s="38">
        <v>7471</v>
      </c>
      <c r="S112" s="38">
        <v>3682</v>
      </c>
      <c r="T112" s="38">
        <v>1686</v>
      </c>
      <c r="U112" s="38">
        <v>1128</v>
      </c>
      <c r="V112" s="38">
        <v>2366</v>
      </c>
      <c r="W112" s="38">
        <v>1566</v>
      </c>
      <c r="X112" s="38">
        <v>2971</v>
      </c>
      <c r="Y112" s="61">
        <v>2562</v>
      </c>
      <c r="Z112" s="128">
        <v>1341</v>
      </c>
      <c r="AA112" s="165">
        <v>1357</v>
      </c>
      <c r="AB112" s="165">
        <v>1405</v>
      </c>
      <c r="AC112" s="165">
        <v>1079</v>
      </c>
      <c r="AD112" s="165">
        <v>1656</v>
      </c>
      <c r="AE112" s="165">
        <v>1220</v>
      </c>
      <c r="AF112" s="165">
        <v>1260</v>
      </c>
      <c r="AG112" s="165">
        <v>1210</v>
      </c>
      <c r="AH112" s="188"/>
      <c r="AI112" s="188"/>
      <c r="AJ112" s="188"/>
      <c r="AK112" s="188"/>
      <c r="AL112" s="430" t="s">
        <v>29</v>
      </c>
      <c r="AM112" s="97" t="s">
        <v>1</v>
      </c>
    </row>
    <row r="113" spans="1:39" x14ac:dyDescent="0.25">
      <c r="A113" s="429"/>
      <c r="B113" s="97" t="s">
        <v>2</v>
      </c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38">
        <v>10870</v>
      </c>
      <c r="O113" s="38">
        <v>10090</v>
      </c>
      <c r="P113" s="38">
        <v>15980</v>
      </c>
      <c r="Q113" s="38">
        <v>7860</v>
      </c>
      <c r="R113" s="38">
        <v>7470</v>
      </c>
      <c r="S113" s="38">
        <v>3680</v>
      </c>
      <c r="T113" s="38">
        <v>1690</v>
      </c>
      <c r="U113" s="38">
        <v>1130</v>
      </c>
      <c r="V113" s="38">
        <v>2370</v>
      </c>
      <c r="W113" s="38">
        <v>1570</v>
      </c>
      <c r="X113" s="38">
        <v>2970</v>
      </c>
      <c r="Y113" s="46">
        <v>2560</v>
      </c>
      <c r="Z113" s="165">
        <v>1340</v>
      </c>
      <c r="AA113" s="165">
        <v>1360</v>
      </c>
      <c r="AB113" s="165">
        <v>1410</v>
      </c>
      <c r="AC113" s="165">
        <v>1080</v>
      </c>
      <c r="AD113" s="165">
        <v>1660</v>
      </c>
      <c r="AE113" s="165">
        <v>1220</v>
      </c>
      <c r="AF113" s="165">
        <v>1260</v>
      </c>
      <c r="AG113" s="165">
        <v>1210</v>
      </c>
      <c r="AH113" s="165">
        <v>1150</v>
      </c>
      <c r="AI113" s="165">
        <v>970</v>
      </c>
      <c r="AJ113" s="165">
        <v>190</v>
      </c>
      <c r="AK113" s="188"/>
      <c r="AL113" s="430"/>
      <c r="AM113" s="97" t="s">
        <v>2</v>
      </c>
    </row>
    <row r="114" spans="1:39" x14ac:dyDescent="0.25">
      <c r="A114" s="429"/>
      <c r="B114" s="97" t="s">
        <v>92</v>
      </c>
      <c r="C114" s="40">
        <v>27500</v>
      </c>
      <c r="D114" s="41">
        <v>14168</v>
      </c>
      <c r="E114" s="41">
        <v>13919</v>
      </c>
      <c r="F114" s="41">
        <v>7574</v>
      </c>
      <c r="G114" s="41">
        <v>10503</v>
      </c>
      <c r="H114" s="42">
        <v>12993</v>
      </c>
      <c r="I114" s="42">
        <v>13358</v>
      </c>
      <c r="J114" s="42">
        <v>12092</v>
      </c>
      <c r="K114" s="42">
        <v>18119</v>
      </c>
      <c r="L114" s="42">
        <v>17536</v>
      </c>
      <c r="M114" s="42">
        <v>14754</v>
      </c>
      <c r="N114" s="42">
        <v>10869</v>
      </c>
      <c r="O114" s="42">
        <v>10088</v>
      </c>
      <c r="P114" s="42">
        <v>15979</v>
      </c>
      <c r="Q114" s="42">
        <v>7862</v>
      </c>
      <c r="R114" s="42">
        <v>7471</v>
      </c>
      <c r="S114" s="42">
        <v>3682</v>
      </c>
      <c r="T114" s="42">
        <v>1686</v>
      </c>
      <c r="U114" s="42">
        <v>1128</v>
      </c>
      <c r="V114" s="42">
        <v>2366</v>
      </c>
      <c r="W114" s="42">
        <v>1566</v>
      </c>
      <c r="X114" s="42">
        <v>2971</v>
      </c>
      <c r="Y114" s="49">
        <v>2562</v>
      </c>
      <c r="Z114" s="128">
        <v>1341</v>
      </c>
      <c r="AA114" s="128">
        <v>1357</v>
      </c>
      <c r="AB114" s="128">
        <v>1405</v>
      </c>
      <c r="AC114" s="128">
        <v>1100</v>
      </c>
      <c r="AD114" s="128">
        <v>1656</v>
      </c>
      <c r="AE114" s="128">
        <v>1219</v>
      </c>
      <c r="AF114" s="128">
        <v>1259</v>
      </c>
      <c r="AG114" s="128">
        <v>1214</v>
      </c>
      <c r="AH114" s="128">
        <v>1151</v>
      </c>
      <c r="AI114" s="128">
        <v>971</v>
      </c>
      <c r="AJ114" s="128">
        <v>200</v>
      </c>
      <c r="AK114" s="128">
        <v>494</v>
      </c>
      <c r="AL114" s="430"/>
      <c r="AM114" s="97" t="s">
        <v>92</v>
      </c>
    </row>
    <row r="115" spans="1:39" ht="19.5" customHeight="1" x14ac:dyDescent="0.25">
      <c r="A115" s="429"/>
      <c r="B115" s="98" t="s">
        <v>93</v>
      </c>
      <c r="C115" s="43">
        <f>C112-C114</f>
        <v>0</v>
      </c>
      <c r="D115" s="43">
        <f t="shared" ref="D115:Y115" si="70">D112-D114</f>
        <v>32</v>
      </c>
      <c r="E115" s="43">
        <f t="shared" si="70"/>
        <v>-19</v>
      </c>
      <c r="F115" s="43">
        <f t="shared" si="70"/>
        <v>26</v>
      </c>
      <c r="G115" s="43">
        <f t="shared" si="70"/>
        <v>-100</v>
      </c>
      <c r="H115" s="43">
        <f t="shared" si="70"/>
        <v>0</v>
      </c>
      <c r="I115" s="43">
        <f t="shared" si="70"/>
        <v>0</v>
      </c>
      <c r="J115" s="43">
        <f t="shared" si="70"/>
        <v>0</v>
      </c>
      <c r="K115" s="43">
        <f t="shared" si="70"/>
        <v>-19</v>
      </c>
      <c r="L115" s="43">
        <f t="shared" si="70"/>
        <v>0</v>
      </c>
      <c r="M115" s="43">
        <f t="shared" si="70"/>
        <v>46</v>
      </c>
      <c r="N115" s="43">
        <f t="shared" si="70"/>
        <v>31</v>
      </c>
      <c r="O115" s="43">
        <f t="shared" si="70"/>
        <v>12</v>
      </c>
      <c r="P115" s="43">
        <f t="shared" si="70"/>
        <v>21</v>
      </c>
      <c r="Q115" s="43">
        <f t="shared" si="70"/>
        <v>38</v>
      </c>
      <c r="R115" s="43">
        <f t="shared" si="70"/>
        <v>0</v>
      </c>
      <c r="S115" s="43">
        <f t="shared" si="70"/>
        <v>0</v>
      </c>
      <c r="T115" s="43">
        <f t="shared" si="70"/>
        <v>0</v>
      </c>
      <c r="U115" s="43">
        <f t="shared" si="70"/>
        <v>0</v>
      </c>
      <c r="V115" s="43">
        <f t="shared" si="70"/>
        <v>0</v>
      </c>
      <c r="W115" s="43">
        <f t="shared" si="70"/>
        <v>0</v>
      </c>
      <c r="X115" s="43">
        <f t="shared" si="70"/>
        <v>0</v>
      </c>
      <c r="Y115" s="43">
        <f t="shared" si="70"/>
        <v>0</v>
      </c>
      <c r="Z115" s="129">
        <f t="shared" ref="Z115:AK115" si="71">Z112-Z114</f>
        <v>0</v>
      </c>
      <c r="AA115" s="129">
        <f t="shared" si="71"/>
        <v>0</v>
      </c>
      <c r="AB115" s="129">
        <f t="shared" si="71"/>
        <v>0</v>
      </c>
      <c r="AC115" s="129">
        <f t="shared" si="71"/>
        <v>-21</v>
      </c>
      <c r="AD115" s="129">
        <f t="shared" si="71"/>
        <v>0</v>
      </c>
      <c r="AE115" s="129">
        <f t="shared" si="71"/>
        <v>1</v>
      </c>
      <c r="AF115" s="129">
        <f t="shared" si="71"/>
        <v>1</v>
      </c>
      <c r="AG115" s="129">
        <f t="shared" si="71"/>
        <v>-4</v>
      </c>
      <c r="AH115" s="129">
        <f t="shared" si="71"/>
        <v>-1151</v>
      </c>
      <c r="AI115" s="129">
        <f t="shared" si="71"/>
        <v>-971</v>
      </c>
      <c r="AJ115" s="129">
        <f t="shared" si="71"/>
        <v>-200</v>
      </c>
      <c r="AK115" s="129">
        <f t="shared" si="71"/>
        <v>-494</v>
      </c>
      <c r="AL115" s="430"/>
      <c r="AM115" s="98" t="s">
        <v>93</v>
      </c>
    </row>
    <row r="116" spans="1:39" ht="17.25" customHeight="1" x14ac:dyDescent="0.25">
      <c r="A116" s="429"/>
      <c r="B116" s="98" t="s">
        <v>94</v>
      </c>
      <c r="C116" s="44">
        <f>C113-C114</f>
        <v>-27500</v>
      </c>
      <c r="D116" s="44">
        <f t="shared" ref="D116:Y116" si="72">D113-D114</f>
        <v>-14168</v>
      </c>
      <c r="E116" s="44">
        <f t="shared" si="72"/>
        <v>-13919</v>
      </c>
      <c r="F116" s="44">
        <f t="shared" si="72"/>
        <v>-7574</v>
      </c>
      <c r="G116" s="44">
        <f t="shared" si="72"/>
        <v>-10503</v>
      </c>
      <c r="H116" s="44">
        <f t="shared" si="72"/>
        <v>-12993</v>
      </c>
      <c r="I116" s="44">
        <f t="shared" si="72"/>
        <v>-13358</v>
      </c>
      <c r="J116" s="44">
        <f t="shared" si="72"/>
        <v>-12092</v>
      </c>
      <c r="K116" s="44">
        <f t="shared" si="72"/>
        <v>-18119</v>
      </c>
      <c r="L116" s="44">
        <f t="shared" si="72"/>
        <v>-17536</v>
      </c>
      <c r="M116" s="44">
        <f t="shared" si="72"/>
        <v>-14754</v>
      </c>
      <c r="N116" s="44">
        <f t="shared" si="72"/>
        <v>1</v>
      </c>
      <c r="O116" s="44">
        <f t="shared" si="72"/>
        <v>2</v>
      </c>
      <c r="P116" s="44">
        <f t="shared" si="72"/>
        <v>1</v>
      </c>
      <c r="Q116" s="44">
        <f t="shared" si="72"/>
        <v>-2</v>
      </c>
      <c r="R116" s="44">
        <f t="shared" si="72"/>
        <v>-1</v>
      </c>
      <c r="S116" s="44">
        <f t="shared" si="72"/>
        <v>-2</v>
      </c>
      <c r="T116" s="44">
        <f t="shared" si="72"/>
        <v>4</v>
      </c>
      <c r="U116" s="44">
        <f t="shared" si="72"/>
        <v>2</v>
      </c>
      <c r="V116" s="44">
        <f t="shared" si="72"/>
        <v>4</v>
      </c>
      <c r="W116" s="44">
        <f t="shared" si="72"/>
        <v>4</v>
      </c>
      <c r="X116" s="44">
        <f t="shared" si="72"/>
        <v>-1</v>
      </c>
      <c r="Y116" s="44">
        <f t="shared" si="72"/>
        <v>-2</v>
      </c>
      <c r="Z116" s="129">
        <f t="shared" ref="Z116:AK116" si="73">Z113-Z114</f>
        <v>-1</v>
      </c>
      <c r="AA116" s="129">
        <f t="shared" si="73"/>
        <v>3</v>
      </c>
      <c r="AB116" s="129">
        <f t="shared" si="73"/>
        <v>5</v>
      </c>
      <c r="AC116" s="129">
        <f t="shared" si="73"/>
        <v>-20</v>
      </c>
      <c r="AD116" s="129">
        <f t="shared" si="73"/>
        <v>4</v>
      </c>
      <c r="AE116" s="129">
        <f t="shared" si="73"/>
        <v>1</v>
      </c>
      <c r="AF116" s="129">
        <f t="shared" si="73"/>
        <v>1</v>
      </c>
      <c r="AG116" s="129">
        <f t="shared" si="73"/>
        <v>-4</v>
      </c>
      <c r="AH116" s="129">
        <f t="shared" si="73"/>
        <v>-1</v>
      </c>
      <c r="AI116" s="129">
        <f t="shared" si="73"/>
        <v>-1</v>
      </c>
      <c r="AJ116" s="129">
        <f t="shared" si="73"/>
        <v>-10</v>
      </c>
      <c r="AK116" s="129">
        <f t="shared" si="73"/>
        <v>-494</v>
      </c>
      <c r="AL116" s="430"/>
      <c r="AM116" s="98" t="s">
        <v>94</v>
      </c>
    </row>
    <row r="117" spans="1:39" x14ac:dyDescent="0.25">
      <c r="A117" s="156"/>
      <c r="B117" s="99"/>
      <c r="C117" s="79"/>
      <c r="D117" s="79"/>
      <c r="E117" s="79"/>
      <c r="F117" s="79"/>
      <c r="G117" s="79"/>
      <c r="H117" s="79"/>
      <c r="I117" s="79"/>
      <c r="J117" s="79"/>
      <c r="K117" s="79"/>
      <c r="L117" s="79"/>
      <c r="M117" s="79"/>
      <c r="N117" s="79"/>
      <c r="O117" s="79"/>
      <c r="P117" s="79"/>
      <c r="Q117" s="79"/>
      <c r="R117" s="79"/>
      <c r="S117" s="79"/>
      <c r="T117" s="79"/>
      <c r="U117" s="79"/>
      <c r="V117" s="79"/>
      <c r="W117" s="79"/>
      <c r="X117" s="79"/>
      <c r="Z117" s="131"/>
      <c r="AA117" s="131"/>
      <c r="AB117" s="131"/>
      <c r="AC117" s="131"/>
      <c r="AD117" s="131"/>
      <c r="AE117" s="131"/>
      <c r="AF117" s="131"/>
      <c r="AG117" s="131"/>
      <c r="AH117" s="403">
        <f>(AH114*100)/AH113-100</f>
        <v>8.6956521739125492E-2</v>
      </c>
      <c r="AI117" s="403">
        <f>(AI114*100)/AI113-100</f>
        <v>0.10309278350516138</v>
      </c>
      <c r="AJ117" s="403">
        <f>(AJ114*100)/AJ113-100</f>
        <v>5.2631578947368354</v>
      </c>
      <c r="AK117" s="403" t="e">
        <f>(AK114*100)/AK113-100</f>
        <v>#DIV/0!</v>
      </c>
      <c r="AM117" s="402"/>
    </row>
    <row r="118" spans="1:39" x14ac:dyDescent="0.25">
      <c r="A118" s="429" t="s">
        <v>30</v>
      </c>
      <c r="B118" s="97" t="s">
        <v>1</v>
      </c>
      <c r="C118" s="38">
        <v>4420000</v>
      </c>
      <c r="D118" s="38">
        <v>3185624</v>
      </c>
      <c r="E118" s="38">
        <v>1872767</v>
      </c>
      <c r="F118" s="38">
        <v>2601648</v>
      </c>
      <c r="G118" s="38">
        <v>3708903</v>
      </c>
      <c r="H118" s="38">
        <v>2946721</v>
      </c>
      <c r="I118" s="38">
        <v>3019921</v>
      </c>
      <c r="J118" s="38">
        <v>3591378</v>
      </c>
      <c r="K118" s="38">
        <v>3206058</v>
      </c>
      <c r="L118" s="38">
        <v>3319150</v>
      </c>
      <c r="M118" s="38">
        <v>3957100</v>
      </c>
      <c r="N118" s="38">
        <v>3469800</v>
      </c>
      <c r="O118" s="38">
        <v>3997100</v>
      </c>
      <c r="P118" s="38">
        <v>4077633</v>
      </c>
      <c r="Q118" s="38">
        <v>3947177</v>
      </c>
      <c r="R118" s="38">
        <v>4230210</v>
      </c>
      <c r="S118" s="38">
        <v>3738594</v>
      </c>
      <c r="T118" s="38">
        <v>4015899</v>
      </c>
      <c r="U118" s="38">
        <v>3712410</v>
      </c>
      <c r="V118" s="38">
        <v>3649020</v>
      </c>
      <c r="W118" s="38">
        <v>4003980</v>
      </c>
      <c r="X118" s="38">
        <v>3283866</v>
      </c>
      <c r="Y118" s="61">
        <v>4076570</v>
      </c>
      <c r="Z118" s="128">
        <v>2465150</v>
      </c>
      <c r="AA118" s="128">
        <v>3289722</v>
      </c>
      <c r="AB118" s="165">
        <v>3519329</v>
      </c>
      <c r="AC118" s="165">
        <v>2699684</v>
      </c>
      <c r="AD118" s="165">
        <v>2689733</v>
      </c>
      <c r="AE118" s="165">
        <v>3116910</v>
      </c>
      <c r="AF118" s="165">
        <v>3022760</v>
      </c>
      <c r="AG118" s="165">
        <v>2626790</v>
      </c>
      <c r="AH118" s="188"/>
      <c r="AI118" s="188"/>
      <c r="AJ118" s="188"/>
      <c r="AK118" s="188"/>
      <c r="AL118" s="430" t="s">
        <v>30</v>
      </c>
      <c r="AM118" s="97" t="s">
        <v>1</v>
      </c>
    </row>
    <row r="119" spans="1:39" x14ac:dyDescent="0.25">
      <c r="A119" s="429"/>
      <c r="B119" s="97" t="s">
        <v>2</v>
      </c>
      <c r="C119" s="85"/>
      <c r="D119" s="85"/>
      <c r="E119" s="85"/>
      <c r="F119" s="85"/>
      <c r="G119" s="85"/>
      <c r="H119" s="85"/>
      <c r="I119" s="85"/>
      <c r="J119" s="85"/>
      <c r="K119" s="85"/>
      <c r="L119" s="85"/>
      <c r="M119" s="85"/>
      <c r="N119" s="38">
        <v>3469800</v>
      </c>
      <c r="O119" s="38">
        <v>3997000</v>
      </c>
      <c r="P119" s="38">
        <v>4077600</v>
      </c>
      <c r="Q119" s="38">
        <v>3947200</v>
      </c>
      <c r="R119" s="38">
        <v>4230200</v>
      </c>
      <c r="S119" s="38">
        <v>3738600</v>
      </c>
      <c r="T119" s="38">
        <v>4015900</v>
      </c>
      <c r="U119" s="38">
        <v>3712400</v>
      </c>
      <c r="V119" s="38">
        <v>3649000</v>
      </c>
      <c r="W119" s="38">
        <v>4004000</v>
      </c>
      <c r="X119" s="38">
        <v>3258700</v>
      </c>
      <c r="Y119" s="49">
        <v>4113400</v>
      </c>
      <c r="Z119" s="128">
        <v>2465200</v>
      </c>
      <c r="AA119" s="128">
        <v>3289700</v>
      </c>
      <c r="AB119" s="188"/>
      <c r="AC119" s="165">
        <v>2699680</v>
      </c>
      <c r="AD119" s="165">
        <v>2689730</v>
      </c>
      <c r="AE119" s="165">
        <v>3116910</v>
      </c>
      <c r="AF119" s="165">
        <v>3022760</v>
      </c>
      <c r="AG119" s="165">
        <v>2626790</v>
      </c>
      <c r="AH119" s="165">
        <v>1601240</v>
      </c>
      <c r="AI119" s="165">
        <v>1397840</v>
      </c>
      <c r="AJ119" s="165">
        <v>1345780</v>
      </c>
      <c r="AK119" s="188"/>
      <c r="AL119" s="430"/>
      <c r="AM119" s="97" t="s">
        <v>2</v>
      </c>
    </row>
    <row r="120" spans="1:39" x14ac:dyDescent="0.25">
      <c r="A120" s="429"/>
      <c r="B120" s="97" t="s">
        <v>92</v>
      </c>
      <c r="C120" s="40">
        <v>4420300</v>
      </c>
      <c r="D120" s="41">
        <v>3185624</v>
      </c>
      <c r="E120" s="41">
        <v>1872767</v>
      </c>
      <c r="F120" s="41">
        <v>2601648</v>
      </c>
      <c r="G120" s="41">
        <v>3708903</v>
      </c>
      <c r="H120" s="42">
        <v>2946721</v>
      </c>
      <c r="I120" s="42">
        <v>3019921</v>
      </c>
      <c r="J120" s="42">
        <v>3591378</v>
      </c>
      <c r="K120" s="42">
        <v>3206058</v>
      </c>
      <c r="L120" s="42">
        <v>3319150</v>
      </c>
      <c r="M120" s="42">
        <v>3957115</v>
      </c>
      <c r="N120" s="42">
        <v>3469805</v>
      </c>
      <c r="O120" s="42">
        <v>3997057</v>
      </c>
      <c r="P120" s="42">
        <v>4077633</v>
      </c>
      <c r="Q120" s="42">
        <v>3947177</v>
      </c>
      <c r="R120" s="42">
        <v>4230210</v>
      </c>
      <c r="S120" s="42">
        <v>3738594</v>
      </c>
      <c r="T120" s="42">
        <v>4015899</v>
      </c>
      <c r="U120" s="42">
        <v>3712410</v>
      </c>
      <c r="V120" s="42">
        <v>3649020</v>
      </c>
      <c r="W120" s="42">
        <v>4003980</v>
      </c>
      <c r="X120" s="42">
        <v>3283866</v>
      </c>
      <c r="Y120" s="49">
        <v>4076570</v>
      </c>
      <c r="Z120" s="128">
        <v>2465150</v>
      </c>
      <c r="AA120" s="128">
        <v>3289722</v>
      </c>
      <c r="AB120" s="128">
        <v>3519329</v>
      </c>
      <c r="AC120" s="128">
        <v>2625000</v>
      </c>
      <c r="AD120" s="128">
        <v>2689733</v>
      </c>
      <c r="AE120" s="128">
        <v>2667453</v>
      </c>
      <c r="AF120" s="128">
        <v>3022758</v>
      </c>
      <c r="AG120" s="390">
        <v>2626788</v>
      </c>
      <c r="AH120" s="390">
        <v>2698496</v>
      </c>
      <c r="AI120" s="390">
        <v>1397835</v>
      </c>
      <c r="AJ120" s="390">
        <v>1179900</v>
      </c>
      <c r="AK120" s="390">
        <v>1183467</v>
      </c>
      <c r="AL120" s="430"/>
      <c r="AM120" s="97" t="s">
        <v>92</v>
      </c>
    </row>
    <row r="121" spans="1:39" ht="20.25" customHeight="1" x14ac:dyDescent="0.25">
      <c r="A121" s="429"/>
      <c r="B121" s="98" t="s">
        <v>93</v>
      </c>
      <c r="C121" s="48">
        <f>C118-C120</f>
        <v>-300</v>
      </c>
      <c r="D121" s="48">
        <f t="shared" ref="D121:Y121" si="74">D118-D120</f>
        <v>0</v>
      </c>
      <c r="E121" s="48">
        <f t="shared" si="74"/>
        <v>0</v>
      </c>
      <c r="F121" s="48">
        <f t="shared" si="74"/>
        <v>0</v>
      </c>
      <c r="G121" s="48">
        <f t="shared" si="74"/>
        <v>0</v>
      </c>
      <c r="H121" s="48">
        <f t="shared" si="74"/>
        <v>0</v>
      </c>
      <c r="I121" s="48">
        <f t="shared" si="74"/>
        <v>0</v>
      </c>
      <c r="J121" s="48">
        <f t="shared" si="74"/>
        <v>0</v>
      </c>
      <c r="K121" s="48">
        <f t="shared" si="74"/>
        <v>0</v>
      </c>
      <c r="L121" s="48">
        <f t="shared" si="74"/>
        <v>0</v>
      </c>
      <c r="M121" s="48">
        <f t="shared" si="74"/>
        <v>-15</v>
      </c>
      <c r="N121" s="48">
        <f t="shared" si="74"/>
        <v>-5</v>
      </c>
      <c r="O121" s="48">
        <f t="shared" si="74"/>
        <v>43</v>
      </c>
      <c r="P121" s="48">
        <f t="shared" si="74"/>
        <v>0</v>
      </c>
      <c r="Q121" s="48">
        <f t="shared" si="74"/>
        <v>0</v>
      </c>
      <c r="R121" s="48">
        <f t="shared" si="74"/>
        <v>0</v>
      </c>
      <c r="S121" s="48">
        <f t="shared" si="74"/>
        <v>0</v>
      </c>
      <c r="T121" s="48">
        <f t="shared" si="74"/>
        <v>0</v>
      </c>
      <c r="U121" s="48">
        <f t="shared" si="74"/>
        <v>0</v>
      </c>
      <c r="V121" s="48">
        <f t="shared" si="74"/>
        <v>0</v>
      </c>
      <c r="W121" s="48">
        <f t="shared" si="74"/>
        <v>0</v>
      </c>
      <c r="X121" s="48">
        <f t="shared" si="74"/>
        <v>0</v>
      </c>
      <c r="Y121" s="48">
        <f t="shared" si="74"/>
        <v>0</v>
      </c>
      <c r="Z121" s="129">
        <f t="shared" ref="Z121:AK121" si="75">Z118-Z120</f>
        <v>0</v>
      </c>
      <c r="AA121" s="129">
        <f t="shared" si="75"/>
        <v>0</v>
      </c>
      <c r="AB121" s="129">
        <f t="shared" si="75"/>
        <v>0</v>
      </c>
      <c r="AC121" s="129">
        <f t="shared" si="75"/>
        <v>74684</v>
      </c>
      <c r="AD121" s="129">
        <f t="shared" si="75"/>
        <v>0</v>
      </c>
      <c r="AE121" s="129">
        <f t="shared" si="75"/>
        <v>449457</v>
      </c>
      <c r="AF121" s="129">
        <f t="shared" si="75"/>
        <v>2</v>
      </c>
      <c r="AG121" s="129">
        <f t="shared" si="75"/>
        <v>2</v>
      </c>
      <c r="AH121" s="129">
        <f t="shared" si="75"/>
        <v>-2698496</v>
      </c>
      <c r="AI121" s="129">
        <f t="shared" si="75"/>
        <v>-1397835</v>
      </c>
      <c r="AJ121" s="129">
        <f t="shared" si="75"/>
        <v>-1179900</v>
      </c>
      <c r="AK121" s="129">
        <f t="shared" si="75"/>
        <v>-1183467</v>
      </c>
      <c r="AL121" s="430"/>
      <c r="AM121" s="98" t="s">
        <v>96</v>
      </c>
    </row>
    <row r="122" spans="1:39" ht="16.5" customHeight="1" x14ac:dyDescent="0.25">
      <c r="A122" s="429"/>
      <c r="B122" s="98" t="s">
        <v>94</v>
      </c>
      <c r="C122" s="44">
        <f>C119-C120</f>
        <v>-4420300</v>
      </c>
      <c r="D122" s="44">
        <f t="shared" ref="D122:X122" si="76">D119-D120</f>
        <v>-3185624</v>
      </c>
      <c r="E122" s="44">
        <f t="shared" si="76"/>
        <v>-1872767</v>
      </c>
      <c r="F122" s="44">
        <f t="shared" si="76"/>
        <v>-2601648</v>
      </c>
      <c r="G122" s="44">
        <f t="shared" si="76"/>
        <v>-3708903</v>
      </c>
      <c r="H122" s="44">
        <f t="shared" si="76"/>
        <v>-2946721</v>
      </c>
      <c r="I122" s="44">
        <f t="shared" si="76"/>
        <v>-3019921</v>
      </c>
      <c r="J122" s="44">
        <f t="shared" si="76"/>
        <v>-3591378</v>
      </c>
      <c r="K122" s="44">
        <f t="shared" si="76"/>
        <v>-3206058</v>
      </c>
      <c r="L122" s="44">
        <f t="shared" si="76"/>
        <v>-3319150</v>
      </c>
      <c r="M122" s="44">
        <f t="shared" si="76"/>
        <v>-3957115</v>
      </c>
      <c r="N122" s="44">
        <f t="shared" si="76"/>
        <v>-5</v>
      </c>
      <c r="O122" s="44">
        <f t="shared" si="76"/>
        <v>-57</v>
      </c>
      <c r="P122" s="44">
        <f t="shared" si="76"/>
        <v>-33</v>
      </c>
      <c r="Q122" s="44">
        <f t="shared" si="76"/>
        <v>23</v>
      </c>
      <c r="R122" s="44">
        <f t="shared" si="76"/>
        <v>-10</v>
      </c>
      <c r="S122" s="44">
        <f t="shared" si="76"/>
        <v>6</v>
      </c>
      <c r="T122" s="44">
        <f t="shared" si="76"/>
        <v>1</v>
      </c>
      <c r="U122" s="44">
        <f t="shared" si="76"/>
        <v>-10</v>
      </c>
      <c r="V122" s="44">
        <f t="shared" si="76"/>
        <v>-20</v>
      </c>
      <c r="W122" s="44">
        <f t="shared" si="76"/>
        <v>20</v>
      </c>
      <c r="X122" s="44">
        <f t="shared" si="76"/>
        <v>-25166</v>
      </c>
      <c r="Y122" s="44">
        <f t="shared" ref="Y122:AK122" si="77">Y119-Y120</f>
        <v>36830</v>
      </c>
      <c r="Z122" s="129">
        <f t="shared" si="77"/>
        <v>50</v>
      </c>
      <c r="AA122" s="129">
        <f t="shared" si="77"/>
        <v>-22</v>
      </c>
      <c r="AB122" s="129">
        <f t="shared" si="77"/>
        <v>-3519329</v>
      </c>
      <c r="AC122" s="129">
        <f t="shared" si="77"/>
        <v>74680</v>
      </c>
      <c r="AD122" s="129">
        <f t="shared" si="77"/>
        <v>-3</v>
      </c>
      <c r="AE122" s="129">
        <f t="shared" si="77"/>
        <v>449457</v>
      </c>
      <c r="AF122" s="129">
        <f t="shared" si="77"/>
        <v>2</v>
      </c>
      <c r="AG122" s="129">
        <f t="shared" si="77"/>
        <v>2</v>
      </c>
      <c r="AH122" s="129">
        <f t="shared" si="77"/>
        <v>-1097256</v>
      </c>
      <c r="AI122" s="129">
        <f t="shared" si="77"/>
        <v>5</v>
      </c>
      <c r="AJ122" s="129">
        <f t="shared" si="77"/>
        <v>165880</v>
      </c>
      <c r="AK122" s="129">
        <f t="shared" si="77"/>
        <v>-1183467</v>
      </c>
      <c r="AL122" s="430"/>
      <c r="AM122" s="98" t="s">
        <v>94</v>
      </c>
    </row>
    <row r="123" spans="1:39" x14ac:dyDescent="0.25">
      <c r="A123" s="156"/>
      <c r="B123" s="99"/>
      <c r="C123" s="79"/>
      <c r="D123" s="79"/>
      <c r="E123" s="79"/>
      <c r="F123" s="79"/>
      <c r="G123" s="79"/>
      <c r="H123" s="79"/>
      <c r="I123" s="79"/>
      <c r="J123" s="79"/>
      <c r="K123" s="79"/>
      <c r="L123" s="79"/>
      <c r="M123" s="79"/>
      <c r="N123" s="62">
        <f>(N120*100)/N119-100</f>
        <v>1.4410052452262789E-4</v>
      </c>
      <c r="O123" s="62">
        <f>(O120*100)/O119-100</f>
        <v>1.4260695521670641E-3</v>
      </c>
      <c r="P123" s="62"/>
      <c r="Q123" s="62"/>
      <c r="R123" s="62"/>
      <c r="S123" s="62"/>
      <c r="T123" s="62"/>
      <c r="U123" s="62"/>
      <c r="V123" s="62"/>
      <c r="W123" s="62"/>
      <c r="X123" s="62"/>
      <c r="Y123" s="62"/>
      <c r="Z123" s="130"/>
      <c r="AA123" s="130"/>
      <c r="AB123" s="130"/>
      <c r="AC123" s="130"/>
      <c r="AD123" s="130"/>
      <c r="AE123" s="130"/>
      <c r="AF123" s="130"/>
      <c r="AG123" s="130"/>
      <c r="AH123" s="130"/>
      <c r="AI123" s="130"/>
      <c r="AJ123" s="130"/>
      <c r="AK123" s="130"/>
      <c r="AL123" s="156"/>
      <c r="AM123" s="99"/>
    </row>
    <row r="124" spans="1:39" x14ac:dyDescent="0.25">
      <c r="A124" s="446" t="s">
        <v>31</v>
      </c>
      <c r="B124" s="97" t="s">
        <v>1</v>
      </c>
      <c r="C124" s="38">
        <v>6771100</v>
      </c>
      <c r="D124" s="38">
        <v>3277705</v>
      </c>
      <c r="E124" s="38">
        <v>4702653</v>
      </c>
      <c r="F124" s="38">
        <v>2896691</v>
      </c>
      <c r="G124" s="38">
        <v>1776327</v>
      </c>
      <c r="H124" s="38">
        <v>3272900</v>
      </c>
      <c r="I124" s="38">
        <v>2654610</v>
      </c>
      <c r="J124" s="38">
        <v>2848169</v>
      </c>
      <c r="K124" s="38">
        <v>2725512</v>
      </c>
      <c r="L124" s="38">
        <v>2361360</v>
      </c>
      <c r="M124" s="38">
        <v>1414900</v>
      </c>
      <c r="N124" s="38">
        <v>666900</v>
      </c>
      <c r="O124" s="38">
        <v>875500</v>
      </c>
      <c r="P124" s="38">
        <v>954630</v>
      </c>
      <c r="Q124" s="38">
        <v>764475</v>
      </c>
      <c r="R124" s="38">
        <v>672723</v>
      </c>
      <c r="S124" s="38">
        <v>729658</v>
      </c>
      <c r="T124" s="38">
        <v>1152200</v>
      </c>
      <c r="U124" s="38">
        <v>748839</v>
      </c>
      <c r="V124" s="38">
        <v>706660</v>
      </c>
      <c r="W124" s="38">
        <v>816814</v>
      </c>
      <c r="X124" s="38">
        <v>837895</v>
      </c>
      <c r="Y124" s="61">
        <v>660497</v>
      </c>
      <c r="Z124" s="128">
        <v>719788</v>
      </c>
      <c r="AA124" s="128">
        <v>1029209</v>
      </c>
      <c r="AB124" s="165">
        <v>1398570</v>
      </c>
      <c r="AC124" s="165">
        <v>1040827</v>
      </c>
      <c r="AD124" s="165">
        <v>1012186</v>
      </c>
      <c r="AE124" s="165">
        <v>1174500</v>
      </c>
      <c r="AF124" s="165">
        <v>978270</v>
      </c>
      <c r="AG124" s="165">
        <v>917160</v>
      </c>
      <c r="AH124" s="188"/>
      <c r="AI124" s="188"/>
      <c r="AJ124" s="188"/>
      <c r="AK124" s="188"/>
      <c r="AL124" s="447" t="s">
        <v>31</v>
      </c>
      <c r="AM124" s="97" t="s">
        <v>1</v>
      </c>
    </row>
    <row r="125" spans="1:39" x14ac:dyDescent="0.25">
      <c r="A125" s="446"/>
      <c r="B125" s="97" t="s">
        <v>2</v>
      </c>
      <c r="C125" s="85"/>
      <c r="D125" s="85"/>
      <c r="E125" s="85"/>
      <c r="F125" s="85"/>
      <c r="G125" s="85"/>
      <c r="H125" s="85"/>
      <c r="I125" s="85"/>
      <c r="J125" s="85"/>
      <c r="K125" s="85"/>
      <c r="L125" s="85"/>
      <c r="M125" s="85"/>
      <c r="N125" s="38">
        <v>666900</v>
      </c>
      <c r="O125" s="38">
        <v>875500</v>
      </c>
      <c r="P125" s="38">
        <v>954600</v>
      </c>
      <c r="Q125" s="38">
        <v>764500</v>
      </c>
      <c r="R125" s="38">
        <v>672700</v>
      </c>
      <c r="S125" s="38">
        <v>729700</v>
      </c>
      <c r="T125" s="38">
        <v>1152200</v>
      </c>
      <c r="U125" s="38">
        <v>748800</v>
      </c>
      <c r="V125" s="38">
        <v>706700</v>
      </c>
      <c r="W125" s="38">
        <v>816800</v>
      </c>
      <c r="X125" s="38">
        <v>853000</v>
      </c>
      <c r="Y125" s="49">
        <v>650100</v>
      </c>
      <c r="Z125" s="128">
        <v>719800</v>
      </c>
      <c r="AA125" s="128">
        <v>1029200</v>
      </c>
      <c r="AB125" s="188"/>
      <c r="AC125" s="188"/>
      <c r="AD125" s="188"/>
      <c r="AE125" s="188"/>
      <c r="AF125" s="188"/>
      <c r="AG125" s="188"/>
      <c r="AH125" s="188"/>
      <c r="AI125" s="188"/>
      <c r="AJ125" s="188"/>
      <c r="AK125" s="188"/>
      <c r="AL125" s="447"/>
      <c r="AM125" s="97" t="s">
        <v>2</v>
      </c>
    </row>
    <row r="126" spans="1:39" x14ac:dyDescent="0.25">
      <c r="A126" s="446"/>
      <c r="B126" s="97" t="s">
        <v>92</v>
      </c>
      <c r="C126" s="40">
        <v>6771100</v>
      </c>
      <c r="D126" s="41">
        <v>3277705</v>
      </c>
      <c r="E126" s="41">
        <v>4702693</v>
      </c>
      <c r="F126" s="41">
        <v>2896691</v>
      </c>
      <c r="G126" s="41">
        <v>1776327</v>
      </c>
      <c r="H126" s="42">
        <v>2763783</v>
      </c>
      <c r="I126" s="42">
        <v>2654610</v>
      </c>
      <c r="J126" s="42">
        <v>2848169</v>
      </c>
      <c r="K126" s="42">
        <v>2725512</v>
      </c>
      <c r="L126" s="42">
        <v>2361359</v>
      </c>
      <c r="M126" s="42">
        <v>1414928</v>
      </c>
      <c r="N126" s="42">
        <v>666870</v>
      </c>
      <c r="O126" s="42">
        <v>875485</v>
      </c>
      <c r="P126" s="42">
        <v>954630</v>
      </c>
      <c r="Q126" s="42">
        <v>764475</v>
      </c>
      <c r="R126" s="42">
        <v>672723</v>
      </c>
      <c r="S126" s="42">
        <v>729658</v>
      </c>
      <c r="T126" s="42">
        <v>1152200</v>
      </c>
      <c r="U126" s="42">
        <v>748839</v>
      </c>
      <c r="V126" s="42">
        <v>706660</v>
      </c>
      <c r="W126" s="42">
        <v>816814</v>
      </c>
      <c r="X126" s="42">
        <v>837895</v>
      </c>
      <c r="Y126" s="49">
        <v>660497</v>
      </c>
      <c r="Z126" s="128">
        <v>719788</v>
      </c>
      <c r="AA126" s="128">
        <v>1029209</v>
      </c>
      <c r="AB126" s="128">
        <v>1398570</v>
      </c>
      <c r="AC126" s="128">
        <v>1040600</v>
      </c>
      <c r="AD126" s="128">
        <v>1012186</v>
      </c>
      <c r="AE126" s="128">
        <v>1174502</v>
      </c>
      <c r="AF126" s="128">
        <v>978266</v>
      </c>
      <c r="AG126" s="128">
        <v>917163</v>
      </c>
      <c r="AH126" s="128">
        <v>778299</v>
      </c>
      <c r="AI126" s="128">
        <v>783534</v>
      </c>
      <c r="AJ126" s="165">
        <v>281300</v>
      </c>
      <c r="AK126" s="165">
        <v>403672</v>
      </c>
      <c r="AL126" s="447"/>
      <c r="AM126" s="97" t="s">
        <v>92</v>
      </c>
    </row>
    <row r="127" spans="1:39" ht="21" customHeight="1" x14ac:dyDescent="0.25">
      <c r="A127" s="446"/>
      <c r="B127" s="98" t="s">
        <v>93</v>
      </c>
      <c r="C127" s="48">
        <f>C124-C126</f>
        <v>0</v>
      </c>
      <c r="D127" s="48">
        <f t="shared" ref="D127:Y127" si="78">D124-D126</f>
        <v>0</v>
      </c>
      <c r="E127" s="48">
        <f t="shared" si="78"/>
        <v>-40</v>
      </c>
      <c r="F127" s="48">
        <f>F124-F126</f>
        <v>0</v>
      </c>
      <c r="G127" s="48">
        <f t="shared" si="78"/>
        <v>0</v>
      </c>
      <c r="H127" s="48">
        <f t="shared" si="78"/>
        <v>509117</v>
      </c>
      <c r="I127" s="48">
        <f t="shared" si="78"/>
        <v>0</v>
      </c>
      <c r="J127" s="48">
        <f t="shared" si="78"/>
        <v>0</v>
      </c>
      <c r="K127" s="48">
        <f t="shared" si="78"/>
        <v>0</v>
      </c>
      <c r="L127" s="48">
        <f t="shared" si="78"/>
        <v>1</v>
      </c>
      <c r="M127" s="48">
        <f t="shared" si="78"/>
        <v>-28</v>
      </c>
      <c r="N127" s="48">
        <f t="shared" si="78"/>
        <v>30</v>
      </c>
      <c r="O127" s="48">
        <f t="shared" si="78"/>
        <v>15</v>
      </c>
      <c r="P127" s="48">
        <f t="shared" si="78"/>
        <v>0</v>
      </c>
      <c r="Q127" s="48">
        <f t="shared" si="78"/>
        <v>0</v>
      </c>
      <c r="R127" s="48">
        <f t="shared" si="78"/>
        <v>0</v>
      </c>
      <c r="S127" s="48">
        <f t="shared" si="78"/>
        <v>0</v>
      </c>
      <c r="T127" s="48">
        <f t="shared" si="78"/>
        <v>0</v>
      </c>
      <c r="U127" s="48">
        <f t="shared" si="78"/>
        <v>0</v>
      </c>
      <c r="V127" s="48">
        <f t="shared" si="78"/>
        <v>0</v>
      </c>
      <c r="W127" s="48">
        <f t="shared" si="78"/>
        <v>0</v>
      </c>
      <c r="X127" s="48">
        <f>X124-X126</f>
        <v>0</v>
      </c>
      <c r="Y127" s="48">
        <f t="shared" si="78"/>
        <v>0</v>
      </c>
      <c r="Z127" s="129">
        <f t="shared" ref="Z127:AK127" si="79">Z124-Z126</f>
        <v>0</v>
      </c>
      <c r="AA127" s="129">
        <f t="shared" si="79"/>
        <v>0</v>
      </c>
      <c r="AB127" s="129">
        <f t="shared" si="79"/>
        <v>0</v>
      </c>
      <c r="AC127" s="129">
        <f t="shared" si="79"/>
        <v>227</v>
      </c>
      <c r="AD127" s="129">
        <f t="shared" si="79"/>
        <v>0</v>
      </c>
      <c r="AE127" s="129">
        <f t="shared" si="79"/>
        <v>-2</v>
      </c>
      <c r="AF127" s="129">
        <f t="shared" si="79"/>
        <v>4</v>
      </c>
      <c r="AG127" s="129">
        <f t="shared" si="79"/>
        <v>-3</v>
      </c>
      <c r="AH127" s="129">
        <f t="shared" si="79"/>
        <v>-778299</v>
      </c>
      <c r="AI127" s="129">
        <f t="shared" si="79"/>
        <v>-783534</v>
      </c>
      <c r="AJ127" s="129">
        <f t="shared" si="79"/>
        <v>-281300</v>
      </c>
      <c r="AK127" s="129">
        <f t="shared" si="79"/>
        <v>-403672</v>
      </c>
      <c r="AL127" s="447"/>
      <c r="AM127" s="98" t="s">
        <v>93</v>
      </c>
    </row>
    <row r="128" spans="1:39" ht="18.75" customHeight="1" x14ac:dyDescent="0.25">
      <c r="A128" s="446"/>
      <c r="B128" s="98" t="s">
        <v>94</v>
      </c>
      <c r="C128" s="44">
        <f>C125-C126</f>
        <v>-6771100</v>
      </c>
      <c r="D128" s="44">
        <f t="shared" ref="D128:W128" si="80">D125-D126</f>
        <v>-3277705</v>
      </c>
      <c r="E128" s="44">
        <f t="shared" si="80"/>
        <v>-4702693</v>
      </c>
      <c r="F128" s="44">
        <f>F125-F126</f>
        <v>-2896691</v>
      </c>
      <c r="G128" s="44">
        <f t="shared" si="80"/>
        <v>-1776327</v>
      </c>
      <c r="H128" s="44">
        <f t="shared" si="80"/>
        <v>-2763783</v>
      </c>
      <c r="I128" s="44">
        <f t="shared" si="80"/>
        <v>-2654610</v>
      </c>
      <c r="J128" s="44">
        <f t="shared" si="80"/>
        <v>-2848169</v>
      </c>
      <c r="K128" s="44">
        <f t="shared" si="80"/>
        <v>-2725512</v>
      </c>
      <c r="L128" s="44">
        <f t="shared" si="80"/>
        <v>-2361359</v>
      </c>
      <c r="M128" s="44">
        <f t="shared" si="80"/>
        <v>-1414928</v>
      </c>
      <c r="N128" s="44">
        <f t="shared" si="80"/>
        <v>30</v>
      </c>
      <c r="O128" s="44">
        <f t="shared" si="80"/>
        <v>15</v>
      </c>
      <c r="P128" s="44">
        <f t="shared" si="80"/>
        <v>-30</v>
      </c>
      <c r="Q128" s="44">
        <f t="shared" si="80"/>
        <v>25</v>
      </c>
      <c r="R128" s="44">
        <f t="shared" si="80"/>
        <v>-23</v>
      </c>
      <c r="S128" s="44">
        <f t="shared" si="80"/>
        <v>42</v>
      </c>
      <c r="T128" s="44">
        <f t="shared" si="80"/>
        <v>0</v>
      </c>
      <c r="U128" s="44">
        <f t="shared" si="80"/>
        <v>-39</v>
      </c>
      <c r="V128" s="44">
        <f t="shared" si="80"/>
        <v>40</v>
      </c>
      <c r="W128" s="44">
        <f t="shared" si="80"/>
        <v>-14</v>
      </c>
      <c r="X128" s="44">
        <f t="shared" ref="X128:AK128" si="81">X125-X126</f>
        <v>15105</v>
      </c>
      <c r="Y128" s="44">
        <f t="shared" si="81"/>
        <v>-10397</v>
      </c>
      <c r="Z128" s="129">
        <f t="shared" si="81"/>
        <v>12</v>
      </c>
      <c r="AA128" s="129">
        <f t="shared" si="81"/>
        <v>-9</v>
      </c>
      <c r="AB128" s="129">
        <f t="shared" si="81"/>
        <v>-1398570</v>
      </c>
      <c r="AC128" s="129">
        <f t="shared" si="81"/>
        <v>-1040600</v>
      </c>
      <c r="AD128" s="129">
        <f t="shared" si="81"/>
        <v>-1012186</v>
      </c>
      <c r="AE128" s="129">
        <f t="shared" si="81"/>
        <v>-1174502</v>
      </c>
      <c r="AF128" s="129">
        <f t="shared" si="81"/>
        <v>-978266</v>
      </c>
      <c r="AG128" s="129">
        <f t="shared" si="81"/>
        <v>-917163</v>
      </c>
      <c r="AH128" s="129">
        <f t="shared" si="81"/>
        <v>-778299</v>
      </c>
      <c r="AI128" s="129">
        <f t="shared" si="81"/>
        <v>-783534</v>
      </c>
      <c r="AJ128" s="129">
        <f t="shared" si="81"/>
        <v>-281300</v>
      </c>
      <c r="AK128" s="129">
        <f t="shared" si="81"/>
        <v>-403672</v>
      </c>
      <c r="AL128" s="447"/>
      <c r="AM128" s="98" t="s">
        <v>94</v>
      </c>
    </row>
    <row r="129" spans="1:39" x14ac:dyDescent="0.25">
      <c r="A129" s="156"/>
      <c r="B129" s="99"/>
      <c r="C129" s="79"/>
      <c r="D129" s="79"/>
      <c r="E129" s="79"/>
      <c r="F129" s="79"/>
      <c r="G129" s="79"/>
      <c r="H129" s="79"/>
      <c r="I129" s="79"/>
      <c r="J129" s="79"/>
      <c r="K129" s="79"/>
      <c r="L129" s="79"/>
      <c r="M129" s="79"/>
      <c r="N129" s="62">
        <f>(N126*100)/N125-100</f>
        <v>-4.4984255510627236E-3</v>
      </c>
      <c r="O129" s="62">
        <f>(O126*100)/O125-100</f>
        <v>-1.7133066818928455E-3</v>
      </c>
      <c r="P129" s="62"/>
      <c r="Q129" s="62"/>
      <c r="R129" s="62"/>
      <c r="S129" s="62"/>
      <c r="T129" s="62"/>
      <c r="U129" s="62"/>
      <c r="V129" s="62"/>
      <c r="W129" s="62"/>
      <c r="X129" s="62"/>
      <c r="Y129" s="64"/>
      <c r="Z129" s="130"/>
      <c r="AA129" s="130"/>
      <c r="AB129" s="130"/>
      <c r="AC129" s="130"/>
      <c r="AD129" s="130"/>
      <c r="AE129" s="130"/>
      <c r="AF129" s="130"/>
      <c r="AG129" s="130"/>
      <c r="AH129" s="130"/>
      <c r="AI129" s="130"/>
      <c r="AJ129" s="130"/>
      <c r="AK129" s="130"/>
      <c r="AL129" s="156"/>
      <c r="AM129" s="99"/>
    </row>
    <row r="130" spans="1:39" x14ac:dyDescent="0.25">
      <c r="A130" s="429" t="s">
        <v>32</v>
      </c>
      <c r="B130" s="97" t="s">
        <v>1</v>
      </c>
      <c r="C130" s="38">
        <v>1011300</v>
      </c>
      <c r="D130" s="38">
        <v>813561</v>
      </c>
      <c r="E130" s="38">
        <v>692828</v>
      </c>
      <c r="F130" s="38">
        <v>830980</v>
      </c>
      <c r="G130" s="38">
        <v>798859</v>
      </c>
      <c r="H130" s="38">
        <v>716354</v>
      </c>
      <c r="I130" s="38">
        <v>730945</v>
      </c>
      <c r="J130" s="38">
        <v>689325</v>
      </c>
      <c r="K130" s="38">
        <v>462594</v>
      </c>
      <c r="L130" s="38">
        <v>677517</v>
      </c>
      <c r="M130" s="38">
        <v>708600</v>
      </c>
      <c r="N130" s="38">
        <v>628700</v>
      </c>
      <c r="O130" s="38">
        <v>651700</v>
      </c>
      <c r="P130" s="38">
        <v>658800</v>
      </c>
      <c r="Q130" s="38">
        <v>818900</v>
      </c>
      <c r="R130" s="38">
        <v>1330085</v>
      </c>
      <c r="S130" s="38">
        <v>626960</v>
      </c>
      <c r="T130" s="38">
        <v>834968</v>
      </c>
      <c r="U130" s="38">
        <v>640785</v>
      </c>
      <c r="V130" s="38">
        <v>814376</v>
      </c>
      <c r="W130" s="38">
        <v>755596</v>
      </c>
      <c r="X130" s="38">
        <v>768532</v>
      </c>
      <c r="Y130" s="61">
        <v>910978</v>
      </c>
      <c r="Z130" s="128">
        <v>683282</v>
      </c>
      <c r="AA130" s="165">
        <v>749128</v>
      </c>
      <c r="AB130" s="165">
        <v>706200</v>
      </c>
      <c r="AC130" s="165">
        <v>701811</v>
      </c>
      <c r="AD130" s="165">
        <v>627177</v>
      </c>
      <c r="AE130" s="165">
        <v>726643</v>
      </c>
      <c r="AF130" s="165">
        <v>464040</v>
      </c>
      <c r="AG130" s="165">
        <v>436550</v>
      </c>
      <c r="AH130" s="188"/>
      <c r="AI130" s="188"/>
      <c r="AJ130" s="188"/>
      <c r="AK130" s="188"/>
      <c r="AL130" s="430" t="s">
        <v>32</v>
      </c>
      <c r="AM130" s="97" t="s">
        <v>1</v>
      </c>
    </row>
    <row r="131" spans="1:39" x14ac:dyDescent="0.25">
      <c r="A131" s="436"/>
      <c r="B131" s="97" t="s">
        <v>2</v>
      </c>
      <c r="C131" s="85"/>
      <c r="D131" s="85"/>
      <c r="E131" s="85"/>
      <c r="F131" s="85"/>
      <c r="G131" s="85"/>
      <c r="H131" s="85"/>
      <c r="I131" s="85"/>
      <c r="J131" s="85"/>
      <c r="K131" s="85"/>
      <c r="L131" s="85"/>
      <c r="M131" s="85"/>
      <c r="N131" s="38">
        <v>628700</v>
      </c>
      <c r="O131" s="38">
        <v>651700</v>
      </c>
      <c r="P131" s="38">
        <v>658800</v>
      </c>
      <c r="Q131" s="38">
        <v>818900</v>
      </c>
      <c r="R131" s="38">
        <v>805100</v>
      </c>
      <c r="S131" s="38">
        <v>379800</v>
      </c>
      <c r="T131" s="38">
        <v>571500</v>
      </c>
      <c r="U131" s="38">
        <v>407100</v>
      </c>
      <c r="V131" s="38">
        <v>536300</v>
      </c>
      <c r="W131" s="38">
        <v>470900</v>
      </c>
      <c r="X131" s="38">
        <v>414500</v>
      </c>
      <c r="Y131" s="49">
        <v>590100</v>
      </c>
      <c r="Z131" s="128">
        <v>453100</v>
      </c>
      <c r="AA131" s="128">
        <v>509200</v>
      </c>
      <c r="AB131" s="188"/>
      <c r="AC131" s="188"/>
      <c r="AD131" s="188"/>
      <c r="AE131" s="188"/>
      <c r="AF131" s="188"/>
      <c r="AG131" s="188"/>
      <c r="AH131" s="188"/>
      <c r="AI131" s="188"/>
      <c r="AJ131" s="188"/>
      <c r="AK131" s="188"/>
      <c r="AL131" s="433"/>
      <c r="AM131" s="97" t="s">
        <v>2</v>
      </c>
    </row>
    <row r="132" spans="1:39" x14ac:dyDescent="0.25">
      <c r="A132" s="436"/>
      <c r="B132" s="97" t="s">
        <v>92</v>
      </c>
      <c r="C132" s="40">
        <v>1011300</v>
      </c>
      <c r="D132" s="41">
        <v>813561</v>
      </c>
      <c r="E132" s="41">
        <v>692828</v>
      </c>
      <c r="F132" s="41">
        <v>830980</v>
      </c>
      <c r="G132" s="41">
        <v>798859</v>
      </c>
      <c r="H132" s="42">
        <v>716354</v>
      </c>
      <c r="I132" s="42">
        <v>730945</v>
      </c>
      <c r="J132" s="42">
        <v>689325</v>
      </c>
      <c r="K132" s="42">
        <v>463294</v>
      </c>
      <c r="L132" s="42">
        <v>677517</v>
      </c>
      <c r="M132" s="42">
        <v>708616</v>
      </c>
      <c r="N132" s="42">
        <v>628675</v>
      </c>
      <c r="O132" s="42">
        <v>651733</v>
      </c>
      <c r="P132" s="42">
        <v>658777</v>
      </c>
      <c r="Q132" s="42">
        <v>818936</v>
      </c>
      <c r="R132" s="42">
        <v>1330085</v>
      </c>
      <c r="S132" s="42">
        <v>626960</v>
      </c>
      <c r="T132" s="42">
        <v>834968</v>
      </c>
      <c r="U132" s="42">
        <v>640785</v>
      </c>
      <c r="V132" s="42">
        <v>814376</v>
      </c>
      <c r="W132" s="42">
        <v>755596</v>
      </c>
      <c r="X132" s="42">
        <v>768532</v>
      </c>
      <c r="Y132" s="49">
        <v>910978</v>
      </c>
      <c r="Z132" s="128">
        <v>683282</v>
      </c>
      <c r="AA132" s="128">
        <v>749128</v>
      </c>
      <c r="AB132" s="128">
        <v>706200</v>
      </c>
      <c r="AC132" s="128">
        <v>695200</v>
      </c>
      <c r="AD132" s="128">
        <v>627177</v>
      </c>
      <c r="AE132" s="128">
        <v>679807</v>
      </c>
      <c r="AF132" s="128">
        <v>742899</v>
      </c>
      <c r="AG132" s="128">
        <v>689401</v>
      </c>
      <c r="AH132" s="128">
        <v>698424</v>
      </c>
      <c r="AI132" s="128">
        <v>753377</v>
      </c>
      <c r="AJ132" s="128">
        <v>509500</v>
      </c>
      <c r="AK132" s="128">
        <v>474182</v>
      </c>
      <c r="AL132" s="433"/>
      <c r="AM132" s="97" t="s">
        <v>92</v>
      </c>
    </row>
    <row r="133" spans="1:39" ht="20.25" customHeight="1" x14ac:dyDescent="0.25">
      <c r="A133" s="436"/>
      <c r="B133" s="98" t="s">
        <v>93</v>
      </c>
      <c r="C133" s="48">
        <f>C130-C132</f>
        <v>0</v>
      </c>
      <c r="D133" s="48">
        <f t="shared" ref="D133:Y133" si="82">D130-D132</f>
        <v>0</v>
      </c>
      <c r="E133" s="48">
        <f t="shared" si="82"/>
        <v>0</v>
      </c>
      <c r="F133" s="48">
        <f t="shared" si="82"/>
        <v>0</v>
      </c>
      <c r="G133" s="48">
        <f t="shared" si="82"/>
        <v>0</v>
      </c>
      <c r="H133" s="48">
        <f t="shared" si="82"/>
        <v>0</v>
      </c>
      <c r="I133" s="48">
        <f t="shared" si="82"/>
        <v>0</v>
      </c>
      <c r="J133" s="48">
        <f t="shared" si="82"/>
        <v>0</v>
      </c>
      <c r="K133" s="48">
        <f t="shared" si="82"/>
        <v>-700</v>
      </c>
      <c r="L133" s="48">
        <f t="shared" si="82"/>
        <v>0</v>
      </c>
      <c r="M133" s="48">
        <f t="shared" si="82"/>
        <v>-16</v>
      </c>
      <c r="N133" s="48">
        <f t="shared" si="82"/>
        <v>25</v>
      </c>
      <c r="O133" s="48">
        <f t="shared" si="82"/>
        <v>-33</v>
      </c>
      <c r="P133" s="48">
        <f t="shared" si="82"/>
        <v>23</v>
      </c>
      <c r="Q133" s="48">
        <f t="shared" si="82"/>
        <v>-36</v>
      </c>
      <c r="R133" s="48">
        <f>R130-R132</f>
        <v>0</v>
      </c>
      <c r="S133" s="48">
        <f t="shared" si="82"/>
        <v>0</v>
      </c>
      <c r="T133" s="48">
        <f t="shared" si="82"/>
        <v>0</v>
      </c>
      <c r="U133" s="48">
        <f t="shared" si="82"/>
        <v>0</v>
      </c>
      <c r="V133" s="48">
        <f t="shared" si="82"/>
        <v>0</v>
      </c>
      <c r="W133" s="48">
        <f t="shared" si="82"/>
        <v>0</v>
      </c>
      <c r="X133" s="48">
        <f t="shared" si="82"/>
        <v>0</v>
      </c>
      <c r="Y133" s="48">
        <f t="shared" si="82"/>
        <v>0</v>
      </c>
      <c r="Z133" s="129">
        <f t="shared" ref="Z133:AK133" si="83">Z130-Z132</f>
        <v>0</v>
      </c>
      <c r="AA133" s="129">
        <f t="shared" si="83"/>
        <v>0</v>
      </c>
      <c r="AB133" s="129">
        <f t="shared" si="83"/>
        <v>0</v>
      </c>
      <c r="AC133" s="129">
        <f t="shared" si="83"/>
        <v>6611</v>
      </c>
      <c r="AD133" s="129">
        <f t="shared" si="83"/>
        <v>0</v>
      </c>
      <c r="AE133" s="129">
        <f t="shared" si="83"/>
        <v>46836</v>
      </c>
      <c r="AF133" s="129">
        <f t="shared" si="83"/>
        <v>-278859</v>
      </c>
      <c r="AG133" s="129">
        <f t="shared" si="83"/>
        <v>-252851</v>
      </c>
      <c r="AH133" s="129">
        <f t="shared" si="83"/>
        <v>-698424</v>
      </c>
      <c r="AI133" s="129">
        <f t="shared" si="83"/>
        <v>-753377</v>
      </c>
      <c r="AJ133" s="129">
        <f t="shared" si="83"/>
        <v>-509500</v>
      </c>
      <c r="AK133" s="129">
        <f t="shared" si="83"/>
        <v>-474182</v>
      </c>
      <c r="AL133" s="433"/>
      <c r="AM133" s="98" t="s">
        <v>93</v>
      </c>
    </row>
    <row r="134" spans="1:39" ht="18" customHeight="1" x14ac:dyDescent="0.25">
      <c r="A134" s="436"/>
      <c r="B134" s="98" t="s">
        <v>94</v>
      </c>
      <c r="C134" s="44">
        <f>C131-C132</f>
        <v>-1011300</v>
      </c>
      <c r="D134" s="44">
        <f t="shared" ref="D134:X134" si="84">D131-D132</f>
        <v>-813561</v>
      </c>
      <c r="E134" s="44">
        <f t="shared" si="84"/>
        <v>-692828</v>
      </c>
      <c r="F134" s="44">
        <f t="shared" si="84"/>
        <v>-830980</v>
      </c>
      <c r="G134" s="44">
        <f t="shared" si="84"/>
        <v>-798859</v>
      </c>
      <c r="H134" s="44">
        <f t="shared" si="84"/>
        <v>-716354</v>
      </c>
      <c r="I134" s="44">
        <f t="shared" si="84"/>
        <v>-730945</v>
      </c>
      <c r="J134" s="44">
        <f t="shared" si="84"/>
        <v>-689325</v>
      </c>
      <c r="K134" s="44">
        <f t="shared" si="84"/>
        <v>-463294</v>
      </c>
      <c r="L134" s="44">
        <f t="shared" si="84"/>
        <v>-677517</v>
      </c>
      <c r="M134" s="44">
        <f t="shared" si="84"/>
        <v>-708616</v>
      </c>
      <c r="N134" s="44">
        <f t="shared" si="84"/>
        <v>25</v>
      </c>
      <c r="O134" s="44">
        <f t="shared" si="84"/>
        <v>-33</v>
      </c>
      <c r="P134" s="44">
        <f t="shared" si="84"/>
        <v>23</v>
      </c>
      <c r="Q134" s="44">
        <f t="shared" si="84"/>
        <v>-36</v>
      </c>
      <c r="R134" s="44">
        <f>R131-R132</f>
        <v>-524985</v>
      </c>
      <c r="S134" s="44">
        <f t="shared" si="84"/>
        <v>-247160</v>
      </c>
      <c r="T134" s="44">
        <f t="shared" si="84"/>
        <v>-263468</v>
      </c>
      <c r="U134" s="44">
        <f t="shared" si="84"/>
        <v>-233685</v>
      </c>
      <c r="V134" s="44">
        <f t="shared" si="84"/>
        <v>-278076</v>
      </c>
      <c r="W134" s="44">
        <f t="shared" si="84"/>
        <v>-284696</v>
      </c>
      <c r="X134" s="44">
        <f t="shared" si="84"/>
        <v>-354032</v>
      </c>
      <c r="Y134" s="44">
        <f t="shared" ref="Y134:AK134" si="85">Y131-Y132</f>
        <v>-320878</v>
      </c>
      <c r="Z134" s="129">
        <f t="shared" si="85"/>
        <v>-230182</v>
      </c>
      <c r="AA134" s="129">
        <f t="shared" si="85"/>
        <v>-239928</v>
      </c>
      <c r="AB134" s="129">
        <f t="shared" si="85"/>
        <v>-706200</v>
      </c>
      <c r="AC134" s="129">
        <f t="shared" si="85"/>
        <v>-695200</v>
      </c>
      <c r="AD134" s="129">
        <f t="shared" si="85"/>
        <v>-627177</v>
      </c>
      <c r="AE134" s="129">
        <f t="shared" si="85"/>
        <v>-679807</v>
      </c>
      <c r="AF134" s="129">
        <f t="shared" si="85"/>
        <v>-742899</v>
      </c>
      <c r="AG134" s="129">
        <f t="shared" si="85"/>
        <v>-689401</v>
      </c>
      <c r="AH134" s="129">
        <f t="shared" si="85"/>
        <v>-698424</v>
      </c>
      <c r="AI134" s="129">
        <f t="shared" si="85"/>
        <v>-753377</v>
      </c>
      <c r="AJ134" s="129">
        <f t="shared" si="85"/>
        <v>-509500</v>
      </c>
      <c r="AK134" s="129">
        <f t="shared" si="85"/>
        <v>-474182</v>
      </c>
      <c r="AL134" s="433"/>
      <c r="AM134" s="98" t="s">
        <v>94</v>
      </c>
    </row>
    <row r="135" spans="1:39" x14ac:dyDescent="0.25">
      <c r="A135" s="156"/>
      <c r="B135" s="99"/>
      <c r="C135" s="79"/>
      <c r="D135" s="79"/>
      <c r="E135" s="79"/>
      <c r="F135" s="79"/>
      <c r="G135" s="79"/>
      <c r="H135" s="79"/>
      <c r="I135" s="79"/>
      <c r="J135" s="79"/>
      <c r="K135" s="79"/>
      <c r="L135" s="79"/>
      <c r="M135" s="79"/>
      <c r="N135" s="62"/>
      <c r="O135" s="62"/>
      <c r="P135" s="62"/>
      <c r="Q135" s="62"/>
      <c r="R135" s="62"/>
      <c r="S135" s="62"/>
      <c r="T135" s="62"/>
      <c r="U135" s="62"/>
      <c r="V135" s="62"/>
      <c r="W135" s="62"/>
      <c r="X135" s="62"/>
      <c r="Y135" s="64"/>
      <c r="Z135" s="130"/>
      <c r="AA135" s="130"/>
      <c r="AB135" s="130"/>
      <c r="AC135" s="130"/>
      <c r="AD135" s="130"/>
      <c r="AE135" s="130"/>
      <c r="AF135" s="130"/>
      <c r="AG135" s="130"/>
      <c r="AH135" s="130"/>
      <c r="AI135" s="130"/>
      <c r="AJ135" s="130"/>
      <c r="AK135" s="130"/>
      <c r="AL135" s="156"/>
      <c r="AM135" s="99"/>
    </row>
    <row r="136" spans="1:39" x14ac:dyDescent="0.25">
      <c r="A136" s="429" t="s">
        <v>33</v>
      </c>
      <c r="B136" s="97" t="s">
        <v>1</v>
      </c>
      <c r="C136" s="38">
        <v>412700</v>
      </c>
      <c r="D136" s="38">
        <v>225440</v>
      </c>
      <c r="E136" s="38">
        <v>218525</v>
      </c>
      <c r="F136" s="38">
        <v>339266</v>
      </c>
      <c r="G136" s="38">
        <v>344013</v>
      </c>
      <c r="H136" s="38">
        <v>310938</v>
      </c>
      <c r="I136" s="38">
        <v>362969</v>
      </c>
      <c r="J136" s="38">
        <v>305610</v>
      </c>
      <c r="K136" s="38">
        <v>337015</v>
      </c>
      <c r="L136" s="38">
        <v>365200</v>
      </c>
      <c r="M136" s="38">
        <v>401100</v>
      </c>
      <c r="N136" s="38">
        <v>296300</v>
      </c>
      <c r="O136" s="38">
        <v>396527</v>
      </c>
      <c r="P136" s="38">
        <v>340784</v>
      </c>
      <c r="Q136" s="38">
        <v>350400</v>
      </c>
      <c r="R136" s="38">
        <v>332827</v>
      </c>
      <c r="S136" s="38">
        <v>363625</v>
      </c>
      <c r="T136" s="38">
        <v>390694</v>
      </c>
      <c r="U136" s="38">
        <v>324993</v>
      </c>
      <c r="V136" s="38">
        <v>395579</v>
      </c>
      <c r="W136" s="38">
        <v>378106</v>
      </c>
      <c r="X136" s="38">
        <v>369142</v>
      </c>
      <c r="Y136" s="61">
        <v>394305</v>
      </c>
      <c r="Z136" s="128">
        <v>345340</v>
      </c>
      <c r="AA136" s="165">
        <v>391837</v>
      </c>
      <c r="AB136" s="165">
        <v>386989</v>
      </c>
      <c r="AC136" s="165">
        <v>360764</v>
      </c>
      <c r="AD136" s="165">
        <v>325074</v>
      </c>
      <c r="AE136" s="165">
        <v>367126</v>
      </c>
      <c r="AF136" s="165">
        <v>212300</v>
      </c>
      <c r="AG136" s="165">
        <v>203690</v>
      </c>
      <c r="AH136" s="188"/>
      <c r="AI136" s="188"/>
      <c r="AJ136" s="188"/>
      <c r="AK136" s="188"/>
      <c r="AL136" s="430" t="s">
        <v>33</v>
      </c>
      <c r="AM136" s="97" t="s">
        <v>1</v>
      </c>
    </row>
    <row r="137" spans="1:39" x14ac:dyDescent="0.25">
      <c r="A137" s="429"/>
      <c r="B137" s="97" t="s">
        <v>2</v>
      </c>
      <c r="C137" s="85"/>
      <c r="D137" s="85"/>
      <c r="E137" s="85"/>
      <c r="F137" s="85"/>
      <c r="G137" s="85"/>
      <c r="H137" s="85"/>
      <c r="I137" s="85"/>
      <c r="J137" s="85"/>
      <c r="K137" s="85"/>
      <c r="L137" s="85"/>
      <c r="M137" s="85"/>
      <c r="N137" s="38">
        <v>296300</v>
      </c>
      <c r="O137" s="38">
        <v>396500</v>
      </c>
      <c r="P137" s="38">
        <v>340800</v>
      </c>
      <c r="Q137" s="38">
        <v>350400</v>
      </c>
      <c r="R137" s="38">
        <v>332800</v>
      </c>
      <c r="S137" s="38">
        <v>226000</v>
      </c>
      <c r="T137" s="38">
        <v>251300</v>
      </c>
      <c r="U137" s="38">
        <v>218900</v>
      </c>
      <c r="V137" s="38">
        <v>252900</v>
      </c>
      <c r="W137" s="38">
        <v>235300</v>
      </c>
      <c r="X137" s="38">
        <v>232700</v>
      </c>
      <c r="Y137" s="49">
        <v>243900</v>
      </c>
      <c r="Z137" s="128">
        <v>223300</v>
      </c>
      <c r="AA137" s="128">
        <v>251400</v>
      </c>
      <c r="AB137" s="188"/>
      <c r="AC137" s="188"/>
      <c r="AD137" s="188"/>
      <c r="AE137" s="188"/>
      <c r="AF137" s="188"/>
      <c r="AG137" s="188"/>
      <c r="AH137" s="188"/>
      <c r="AI137" s="188"/>
      <c r="AJ137" s="188"/>
      <c r="AK137" s="188"/>
      <c r="AL137" s="430"/>
      <c r="AM137" s="97" t="s">
        <v>2</v>
      </c>
    </row>
    <row r="138" spans="1:39" x14ac:dyDescent="0.25">
      <c r="A138" s="429"/>
      <c r="B138" s="97" t="s">
        <v>92</v>
      </c>
      <c r="C138" s="90">
        <v>412700</v>
      </c>
      <c r="D138" s="81">
        <v>225440</v>
      </c>
      <c r="E138" s="81">
        <v>218525</v>
      </c>
      <c r="F138" s="81">
        <v>339266</v>
      </c>
      <c r="G138" s="81">
        <v>344013</v>
      </c>
      <c r="H138" s="65">
        <v>310938</v>
      </c>
      <c r="I138" s="65">
        <v>362969</v>
      </c>
      <c r="J138" s="65">
        <v>305610</v>
      </c>
      <c r="K138" s="65">
        <v>337015</v>
      </c>
      <c r="L138" s="65">
        <v>365162</v>
      </c>
      <c r="M138" s="65">
        <v>401057</v>
      </c>
      <c r="N138" s="65">
        <v>296297</v>
      </c>
      <c r="O138" s="65">
        <v>396527</v>
      </c>
      <c r="P138" s="65">
        <v>340784</v>
      </c>
      <c r="Q138" s="65">
        <v>350400</v>
      </c>
      <c r="R138" s="42">
        <v>332827</v>
      </c>
      <c r="S138" s="42">
        <v>363625</v>
      </c>
      <c r="T138" s="42">
        <v>390694</v>
      </c>
      <c r="U138" s="42">
        <v>324993</v>
      </c>
      <c r="V138" s="42">
        <v>395579</v>
      </c>
      <c r="W138" s="42">
        <v>378106</v>
      </c>
      <c r="X138" s="42">
        <v>369142</v>
      </c>
      <c r="Y138" s="49">
        <v>394305</v>
      </c>
      <c r="Z138" s="128">
        <v>345340</v>
      </c>
      <c r="AA138" s="128">
        <v>391837</v>
      </c>
      <c r="AB138" s="128">
        <v>386989</v>
      </c>
      <c r="AC138" s="128">
        <v>353600</v>
      </c>
      <c r="AD138" s="128">
        <v>325074</v>
      </c>
      <c r="AE138" s="128">
        <v>352165</v>
      </c>
      <c r="AF138" s="128">
        <v>350159</v>
      </c>
      <c r="AG138" s="128">
        <v>340635</v>
      </c>
      <c r="AH138" s="128">
        <v>326740</v>
      </c>
      <c r="AI138" s="128">
        <v>357213</v>
      </c>
      <c r="AJ138" s="128">
        <v>263100</v>
      </c>
      <c r="AK138" s="128">
        <v>253072</v>
      </c>
      <c r="AL138" s="430"/>
      <c r="AM138" s="97" t="s">
        <v>92</v>
      </c>
    </row>
    <row r="139" spans="1:39" ht="20.25" customHeight="1" x14ac:dyDescent="0.25">
      <c r="A139" s="429"/>
      <c r="B139" s="98" t="s">
        <v>93</v>
      </c>
      <c r="C139" s="48">
        <f>C136-C138</f>
        <v>0</v>
      </c>
      <c r="D139" s="48">
        <f t="shared" ref="D139:Y139" si="86">D136-D138</f>
        <v>0</v>
      </c>
      <c r="E139" s="48">
        <f t="shared" si="86"/>
        <v>0</v>
      </c>
      <c r="F139" s="48">
        <f t="shared" si="86"/>
        <v>0</v>
      </c>
      <c r="G139" s="48">
        <f t="shared" si="86"/>
        <v>0</v>
      </c>
      <c r="H139" s="48">
        <f t="shared" si="86"/>
        <v>0</v>
      </c>
      <c r="I139" s="48">
        <f t="shared" si="86"/>
        <v>0</v>
      </c>
      <c r="J139" s="48">
        <f t="shared" si="86"/>
        <v>0</v>
      </c>
      <c r="K139" s="48">
        <f t="shared" si="86"/>
        <v>0</v>
      </c>
      <c r="L139" s="48">
        <f t="shared" si="86"/>
        <v>38</v>
      </c>
      <c r="M139" s="48">
        <f t="shared" si="86"/>
        <v>43</v>
      </c>
      <c r="N139" s="48">
        <f t="shared" si="86"/>
        <v>3</v>
      </c>
      <c r="O139" s="48">
        <f t="shared" si="86"/>
        <v>0</v>
      </c>
      <c r="P139" s="48">
        <f t="shared" si="86"/>
        <v>0</v>
      </c>
      <c r="Q139" s="48">
        <f t="shared" si="86"/>
        <v>0</v>
      </c>
      <c r="R139" s="48">
        <f t="shared" si="86"/>
        <v>0</v>
      </c>
      <c r="S139" s="48">
        <f t="shared" si="86"/>
        <v>0</v>
      </c>
      <c r="T139" s="48">
        <f t="shared" si="86"/>
        <v>0</v>
      </c>
      <c r="U139" s="48">
        <f t="shared" si="86"/>
        <v>0</v>
      </c>
      <c r="V139" s="48">
        <f t="shared" si="86"/>
        <v>0</v>
      </c>
      <c r="W139" s="48">
        <f t="shared" si="86"/>
        <v>0</v>
      </c>
      <c r="X139" s="48">
        <f t="shared" si="86"/>
        <v>0</v>
      </c>
      <c r="Y139" s="48">
        <f t="shared" si="86"/>
        <v>0</v>
      </c>
      <c r="Z139" s="129">
        <f t="shared" ref="Z139:AK139" si="87">Z136-Z138</f>
        <v>0</v>
      </c>
      <c r="AA139" s="129">
        <f t="shared" si="87"/>
        <v>0</v>
      </c>
      <c r="AB139" s="129">
        <f t="shared" si="87"/>
        <v>0</v>
      </c>
      <c r="AC139" s="129">
        <f t="shared" si="87"/>
        <v>7164</v>
      </c>
      <c r="AD139" s="129">
        <f t="shared" si="87"/>
        <v>0</v>
      </c>
      <c r="AE139" s="129">
        <f t="shared" si="87"/>
        <v>14961</v>
      </c>
      <c r="AF139" s="129">
        <f t="shared" si="87"/>
        <v>-137859</v>
      </c>
      <c r="AG139" s="129">
        <f t="shared" si="87"/>
        <v>-136945</v>
      </c>
      <c r="AH139" s="129">
        <f t="shared" si="87"/>
        <v>-326740</v>
      </c>
      <c r="AI139" s="129">
        <f t="shared" si="87"/>
        <v>-357213</v>
      </c>
      <c r="AJ139" s="129">
        <f t="shared" si="87"/>
        <v>-263100</v>
      </c>
      <c r="AK139" s="129">
        <f t="shared" si="87"/>
        <v>-253072</v>
      </c>
      <c r="AL139" s="430"/>
      <c r="AM139" s="98" t="s">
        <v>93</v>
      </c>
    </row>
    <row r="140" spans="1:39" ht="18.75" customHeight="1" x14ac:dyDescent="0.25">
      <c r="A140" s="429"/>
      <c r="B140" s="98" t="s">
        <v>94</v>
      </c>
      <c r="C140" s="44">
        <f>C137-C138</f>
        <v>-412700</v>
      </c>
      <c r="D140" s="44">
        <f t="shared" ref="D140:X140" si="88">D137-D138</f>
        <v>-225440</v>
      </c>
      <c r="E140" s="44">
        <f t="shared" si="88"/>
        <v>-218525</v>
      </c>
      <c r="F140" s="44">
        <f t="shared" si="88"/>
        <v>-339266</v>
      </c>
      <c r="G140" s="44">
        <f t="shared" si="88"/>
        <v>-344013</v>
      </c>
      <c r="H140" s="44">
        <f t="shared" si="88"/>
        <v>-310938</v>
      </c>
      <c r="I140" s="44">
        <f t="shared" si="88"/>
        <v>-362969</v>
      </c>
      <c r="J140" s="44">
        <f t="shared" si="88"/>
        <v>-305610</v>
      </c>
      <c r="K140" s="44">
        <f t="shared" si="88"/>
        <v>-337015</v>
      </c>
      <c r="L140" s="44">
        <f t="shared" si="88"/>
        <v>-365162</v>
      </c>
      <c r="M140" s="44">
        <f t="shared" si="88"/>
        <v>-401057</v>
      </c>
      <c r="N140" s="44">
        <f t="shared" si="88"/>
        <v>3</v>
      </c>
      <c r="O140" s="44">
        <f t="shared" si="88"/>
        <v>-27</v>
      </c>
      <c r="P140" s="44">
        <f t="shared" si="88"/>
        <v>16</v>
      </c>
      <c r="Q140" s="44">
        <f t="shared" si="88"/>
        <v>0</v>
      </c>
      <c r="R140" s="44">
        <f t="shared" si="88"/>
        <v>-27</v>
      </c>
      <c r="S140" s="44">
        <f t="shared" si="88"/>
        <v>-137625</v>
      </c>
      <c r="T140" s="44">
        <f t="shared" si="88"/>
        <v>-139394</v>
      </c>
      <c r="U140" s="44">
        <f t="shared" si="88"/>
        <v>-106093</v>
      </c>
      <c r="V140" s="44">
        <f t="shared" si="88"/>
        <v>-142679</v>
      </c>
      <c r="W140" s="44">
        <f t="shared" si="88"/>
        <v>-142806</v>
      </c>
      <c r="X140" s="44">
        <f t="shared" si="88"/>
        <v>-136442</v>
      </c>
      <c r="Y140" s="44">
        <f t="shared" ref="Y140:AK140" si="89">Y137-Y138</f>
        <v>-150405</v>
      </c>
      <c r="Z140" s="129">
        <f t="shared" si="89"/>
        <v>-122040</v>
      </c>
      <c r="AA140" s="129">
        <f t="shared" si="89"/>
        <v>-140437</v>
      </c>
      <c r="AB140" s="129">
        <f t="shared" si="89"/>
        <v>-386989</v>
      </c>
      <c r="AC140" s="129">
        <f t="shared" si="89"/>
        <v>-353600</v>
      </c>
      <c r="AD140" s="129">
        <f t="shared" si="89"/>
        <v>-325074</v>
      </c>
      <c r="AE140" s="129">
        <f t="shared" si="89"/>
        <v>-352165</v>
      </c>
      <c r="AF140" s="129">
        <f t="shared" si="89"/>
        <v>-350159</v>
      </c>
      <c r="AG140" s="129">
        <f t="shared" si="89"/>
        <v>-340635</v>
      </c>
      <c r="AH140" s="129">
        <f t="shared" si="89"/>
        <v>-326740</v>
      </c>
      <c r="AI140" s="129">
        <f t="shared" si="89"/>
        <v>-357213</v>
      </c>
      <c r="AJ140" s="129">
        <f t="shared" si="89"/>
        <v>-263100</v>
      </c>
      <c r="AK140" s="129">
        <f t="shared" si="89"/>
        <v>-253072</v>
      </c>
      <c r="AL140" s="430"/>
      <c r="AM140" s="98" t="s">
        <v>94</v>
      </c>
    </row>
    <row r="141" spans="1:39" x14ac:dyDescent="0.25">
      <c r="A141" s="156"/>
      <c r="B141" s="99"/>
      <c r="C141" s="79"/>
      <c r="D141" s="79"/>
      <c r="E141" s="79"/>
      <c r="F141" s="79"/>
      <c r="G141" s="79"/>
      <c r="H141" s="79"/>
      <c r="I141" s="79"/>
      <c r="J141" s="79"/>
      <c r="K141" s="79"/>
      <c r="L141" s="79"/>
      <c r="M141" s="79"/>
      <c r="N141" s="62"/>
      <c r="O141" s="62"/>
      <c r="P141" s="62"/>
      <c r="Q141" s="62"/>
      <c r="R141" s="62"/>
      <c r="S141" s="62"/>
      <c r="T141" s="62"/>
      <c r="U141" s="62"/>
      <c r="V141" s="62"/>
      <c r="W141" s="62"/>
      <c r="X141" s="62"/>
      <c r="Y141" s="62"/>
      <c r="Z141" s="130"/>
      <c r="AA141" s="130"/>
      <c r="AB141" s="130"/>
      <c r="AC141" s="130"/>
      <c r="AD141" s="130"/>
      <c r="AE141" s="130"/>
      <c r="AF141" s="130"/>
      <c r="AG141" s="130"/>
      <c r="AH141" s="130"/>
      <c r="AI141" s="130"/>
      <c r="AJ141" s="130"/>
      <c r="AK141" s="130"/>
      <c r="AL141" s="156"/>
      <c r="AM141" s="99"/>
    </row>
    <row r="142" spans="1:39" x14ac:dyDescent="0.25">
      <c r="A142" s="429" t="s">
        <v>34</v>
      </c>
      <c r="B142" s="97" t="s">
        <v>1</v>
      </c>
      <c r="C142" s="38">
        <v>46600</v>
      </c>
      <c r="D142" s="38">
        <v>30600</v>
      </c>
      <c r="E142" s="38">
        <v>32200</v>
      </c>
      <c r="F142" s="38">
        <v>43500</v>
      </c>
      <c r="G142" s="38">
        <v>48900</v>
      </c>
      <c r="H142" s="38">
        <v>56400</v>
      </c>
      <c r="I142" s="38">
        <v>69476</v>
      </c>
      <c r="J142" s="38">
        <v>54108</v>
      </c>
      <c r="K142" s="38">
        <v>63341</v>
      </c>
      <c r="L142" s="38">
        <v>72000</v>
      </c>
      <c r="M142" s="38">
        <v>84500</v>
      </c>
      <c r="N142" s="38">
        <v>68300</v>
      </c>
      <c r="O142" s="38">
        <v>82900</v>
      </c>
      <c r="P142" s="38">
        <v>72423</v>
      </c>
      <c r="Q142" s="38">
        <v>76523</v>
      </c>
      <c r="R142" s="38">
        <v>65884</v>
      </c>
      <c r="S142" s="38">
        <v>68374</v>
      </c>
      <c r="T142" s="38">
        <v>64222</v>
      </c>
      <c r="U142" s="38">
        <v>49948</v>
      </c>
      <c r="V142" s="38">
        <v>72333</v>
      </c>
      <c r="W142" s="38">
        <v>63245</v>
      </c>
      <c r="X142" s="38">
        <v>67215</v>
      </c>
      <c r="Y142" s="61">
        <v>66602</v>
      </c>
      <c r="Z142" s="128">
        <v>59368</v>
      </c>
      <c r="AA142" s="165">
        <v>62156</v>
      </c>
      <c r="AB142" s="165">
        <v>62773</v>
      </c>
      <c r="AC142" s="165">
        <v>64140</v>
      </c>
      <c r="AD142" s="165">
        <v>54389</v>
      </c>
      <c r="AE142" s="165">
        <v>55513</v>
      </c>
      <c r="AF142" s="165">
        <v>30570</v>
      </c>
      <c r="AG142" s="165">
        <v>27700</v>
      </c>
      <c r="AH142" s="165">
        <v>48746</v>
      </c>
      <c r="AI142" s="188"/>
      <c r="AJ142" s="188"/>
      <c r="AK142" s="188"/>
      <c r="AL142" s="430" t="s">
        <v>34</v>
      </c>
      <c r="AM142" s="97" t="s">
        <v>1</v>
      </c>
    </row>
    <row r="143" spans="1:39" x14ac:dyDescent="0.25">
      <c r="A143" s="436"/>
      <c r="B143" s="97" t="s">
        <v>2</v>
      </c>
      <c r="C143" s="85"/>
      <c r="D143" s="85"/>
      <c r="E143" s="85"/>
      <c r="F143" s="85"/>
      <c r="G143" s="85"/>
      <c r="H143" s="85"/>
      <c r="I143" s="85"/>
      <c r="J143" s="85"/>
      <c r="K143" s="85"/>
      <c r="L143" s="85"/>
      <c r="M143" s="85"/>
      <c r="N143" s="85"/>
      <c r="O143" s="85"/>
      <c r="P143" s="85"/>
      <c r="Q143" s="85"/>
      <c r="R143" s="85"/>
      <c r="S143" s="85"/>
      <c r="T143" s="85"/>
      <c r="U143" s="85"/>
      <c r="V143" s="85"/>
      <c r="W143" s="85"/>
      <c r="X143" s="85"/>
      <c r="Y143" s="63"/>
      <c r="Z143" s="166"/>
      <c r="AA143" s="166"/>
      <c r="AB143" s="166"/>
      <c r="AC143" s="166"/>
      <c r="AD143" s="166"/>
      <c r="AE143" s="166"/>
      <c r="AF143" s="166"/>
      <c r="AG143" s="166"/>
      <c r="AH143" s="166"/>
      <c r="AI143" s="166"/>
      <c r="AJ143" s="166"/>
      <c r="AK143" s="166"/>
      <c r="AL143" s="433"/>
      <c r="AM143" s="97" t="s">
        <v>2</v>
      </c>
    </row>
    <row r="144" spans="1:39" x14ac:dyDescent="0.25">
      <c r="A144" s="436"/>
      <c r="B144" s="97" t="s">
        <v>92</v>
      </c>
      <c r="C144" s="86">
        <v>46600</v>
      </c>
      <c r="D144" s="87">
        <v>30611</v>
      </c>
      <c r="E144" s="87">
        <v>32210</v>
      </c>
      <c r="F144" s="87">
        <v>43537</v>
      </c>
      <c r="G144" s="87">
        <v>48931</v>
      </c>
      <c r="H144" s="45">
        <v>56387</v>
      </c>
      <c r="I144" s="45">
        <v>69476</v>
      </c>
      <c r="J144" s="45">
        <v>54108</v>
      </c>
      <c r="K144" s="45">
        <v>63341</v>
      </c>
      <c r="L144" s="45">
        <v>71960</v>
      </c>
      <c r="M144" s="45">
        <v>84542</v>
      </c>
      <c r="N144" s="45">
        <v>68338</v>
      </c>
      <c r="O144" s="45">
        <v>82901</v>
      </c>
      <c r="P144" s="45">
        <v>72423</v>
      </c>
      <c r="Q144" s="45">
        <v>76523</v>
      </c>
      <c r="R144" s="45">
        <v>65884</v>
      </c>
      <c r="S144" s="45">
        <v>68374</v>
      </c>
      <c r="T144" s="45">
        <v>64222</v>
      </c>
      <c r="U144" s="45">
        <v>49948</v>
      </c>
      <c r="V144" s="45">
        <v>72333</v>
      </c>
      <c r="W144" s="45">
        <v>63245</v>
      </c>
      <c r="X144" s="45">
        <v>67215</v>
      </c>
      <c r="Y144" s="49">
        <v>66602</v>
      </c>
      <c r="Z144" s="128">
        <v>59368</v>
      </c>
      <c r="AA144" s="128">
        <v>62156</v>
      </c>
      <c r="AB144" s="128">
        <v>62773</v>
      </c>
      <c r="AC144" s="128">
        <v>62400</v>
      </c>
      <c r="AD144" s="128">
        <v>54389</v>
      </c>
      <c r="AE144" s="128">
        <v>55673</v>
      </c>
      <c r="AF144" s="128">
        <v>57975</v>
      </c>
      <c r="AG144" s="128">
        <v>54862</v>
      </c>
      <c r="AH144" s="128">
        <v>57164</v>
      </c>
      <c r="AI144" s="128">
        <v>60601</v>
      </c>
      <c r="AJ144" s="128">
        <v>50200</v>
      </c>
      <c r="AK144" s="128">
        <v>45801</v>
      </c>
      <c r="AL144" s="433"/>
      <c r="AM144" s="97" t="s">
        <v>92</v>
      </c>
    </row>
    <row r="145" spans="1:39" ht="21.75" customHeight="1" x14ac:dyDescent="0.25">
      <c r="A145" s="436"/>
      <c r="B145" s="98" t="s">
        <v>93</v>
      </c>
      <c r="C145" s="48">
        <f>C142-C144</f>
        <v>0</v>
      </c>
      <c r="D145" s="48">
        <f t="shared" ref="D145:Y145" si="90">D142-D144</f>
        <v>-11</v>
      </c>
      <c r="E145" s="48">
        <f t="shared" si="90"/>
        <v>-10</v>
      </c>
      <c r="F145" s="48">
        <f t="shared" si="90"/>
        <v>-37</v>
      </c>
      <c r="G145" s="48">
        <f t="shared" si="90"/>
        <v>-31</v>
      </c>
      <c r="H145" s="48">
        <f t="shared" si="90"/>
        <v>13</v>
      </c>
      <c r="I145" s="48">
        <f t="shared" si="90"/>
        <v>0</v>
      </c>
      <c r="J145" s="48">
        <f t="shared" si="90"/>
        <v>0</v>
      </c>
      <c r="K145" s="48">
        <f t="shared" si="90"/>
        <v>0</v>
      </c>
      <c r="L145" s="48">
        <f t="shared" si="90"/>
        <v>40</v>
      </c>
      <c r="M145" s="48">
        <f t="shared" si="90"/>
        <v>-42</v>
      </c>
      <c r="N145" s="48">
        <f t="shared" si="90"/>
        <v>-38</v>
      </c>
      <c r="O145" s="48">
        <f t="shared" si="90"/>
        <v>-1</v>
      </c>
      <c r="P145" s="48">
        <f t="shared" si="90"/>
        <v>0</v>
      </c>
      <c r="Q145" s="48">
        <f t="shared" si="90"/>
        <v>0</v>
      </c>
      <c r="R145" s="48">
        <f t="shared" si="90"/>
        <v>0</v>
      </c>
      <c r="S145" s="48">
        <f t="shared" si="90"/>
        <v>0</v>
      </c>
      <c r="T145" s="48">
        <f t="shared" si="90"/>
        <v>0</v>
      </c>
      <c r="U145" s="48">
        <f t="shared" si="90"/>
        <v>0</v>
      </c>
      <c r="V145" s="48">
        <f t="shared" si="90"/>
        <v>0</v>
      </c>
      <c r="W145" s="48">
        <f t="shared" si="90"/>
        <v>0</v>
      </c>
      <c r="X145" s="48">
        <f t="shared" si="90"/>
        <v>0</v>
      </c>
      <c r="Y145" s="48">
        <f t="shared" si="90"/>
        <v>0</v>
      </c>
      <c r="Z145" s="129">
        <f t="shared" ref="Z145:AK145" si="91">Z142-Z144</f>
        <v>0</v>
      </c>
      <c r="AA145" s="129">
        <f t="shared" si="91"/>
        <v>0</v>
      </c>
      <c r="AB145" s="129">
        <f t="shared" si="91"/>
        <v>0</v>
      </c>
      <c r="AC145" s="129">
        <f t="shared" si="91"/>
        <v>1740</v>
      </c>
      <c r="AD145" s="129">
        <f t="shared" si="91"/>
        <v>0</v>
      </c>
      <c r="AE145" s="129">
        <f t="shared" si="91"/>
        <v>-160</v>
      </c>
      <c r="AF145" s="129">
        <f t="shared" si="91"/>
        <v>-27405</v>
      </c>
      <c r="AG145" s="129">
        <f t="shared" si="91"/>
        <v>-27162</v>
      </c>
      <c r="AH145" s="129">
        <f t="shared" si="91"/>
        <v>-8418</v>
      </c>
      <c r="AI145" s="129">
        <f t="shared" si="91"/>
        <v>-60601</v>
      </c>
      <c r="AJ145" s="129">
        <f t="shared" si="91"/>
        <v>-50200</v>
      </c>
      <c r="AK145" s="129">
        <f t="shared" si="91"/>
        <v>-45801</v>
      </c>
      <c r="AL145" s="433"/>
      <c r="AM145" s="98" t="s">
        <v>93</v>
      </c>
    </row>
    <row r="146" spans="1:39" ht="18" customHeight="1" x14ac:dyDescent="0.25">
      <c r="A146" s="436"/>
      <c r="B146" s="98" t="s">
        <v>94</v>
      </c>
      <c r="C146" s="44">
        <f>C143-C144</f>
        <v>-46600</v>
      </c>
      <c r="D146" s="44">
        <f t="shared" ref="D146:Y146" si="92">D143-D144</f>
        <v>-30611</v>
      </c>
      <c r="E146" s="44">
        <f t="shared" si="92"/>
        <v>-32210</v>
      </c>
      <c r="F146" s="44">
        <f t="shared" si="92"/>
        <v>-43537</v>
      </c>
      <c r="G146" s="44">
        <f t="shared" si="92"/>
        <v>-48931</v>
      </c>
      <c r="H146" s="44">
        <f t="shared" si="92"/>
        <v>-56387</v>
      </c>
      <c r="I146" s="44">
        <f t="shared" si="92"/>
        <v>-69476</v>
      </c>
      <c r="J146" s="44">
        <f t="shared" si="92"/>
        <v>-54108</v>
      </c>
      <c r="K146" s="44">
        <f t="shared" si="92"/>
        <v>-63341</v>
      </c>
      <c r="L146" s="44">
        <f t="shared" si="92"/>
        <v>-71960</v>
      </c>
      <c r="M146" s="44">
        <f t="shared" si="92"/>
        <v>-84542</v>
      </c>
      <c r="N146" s="44">
        <f t="shared" si="92"/>
        <v>-68338</v>
      </c>
      <c r="O146" s="44">
        <f t="shared" si="92"/>
        <v>-82901</v>
      </c>
      <c r="P146" s="44">
        <f t="shared" si="92"/>
        <v>-72423</v>
      </c>
      <c r="Q146" s="44">
        <f t="shared" si="92"/>
        <v>-76523</v>
      </c>
      <c r="R146" s="44">
        <f t="shared" si="92"/>
        <v>-65884</v>
      </c>
      <c r="S146" s="44">
        <f t="shared" si="92"/>
        <v>-68374</v>
      </c>
      <c r="T146" s="44">
        <f t="shared" si="92"/>
        <v>-64222</v>
      </c>
      <c r="U146" s="44">
        <f t="shared" si="92"/>
        <v>-49948</v>
      </c>
      <c r="V146" s="44">
        <f t="shared" si="92"/>
        <v>-72333</v>
      </c>
      <c r="W146" s="44">
        <f t="shared" si="92"/>
        <v>-63245</v>
      </c>
      <c r="X146" s="44">
        <f t="shared" si="92"/>
        <v>-67215</v>
      </c>
      <c r="Y146" s="44">
        <f t="shared" si="92"/>
        <v>-66602</v>
      </c>
      <c r="Z146" s="129">
        <f t="shared" ref="Z146:AK146" si="93">Z143-Z144</f>
        <v>-59368</v>
      </c>
      <c r="AA146" s="129">
        <f t="shared" si="93"/>
        <v>-62156</v>
      </c>
      <c r="AB146" s="129">
        <f t="shared" si="93"/>
        <v>-62773</v>
      </c>
      <c r="AC146" s="129">
        <f t="shared" si="93"/>
        <v>-62400</v>
      </c>
      <c r="AD146" s="129">
        <f t="shared" si="93"/>
        <v>-54389</v>
      </c>
      <c r="AE146" s="129">
        <f t="shared" si="93"/>
        <v>-55673</v>
      </c>
      <c r="AF146" s="129">
        <f t="shared" si="93"/>
        <v>-57975</v>
      </c>
      <c r="AG146" s="129">
        <f t="shared" si="93"/>
        <v>-54862</v>
      </c>
      <c r="AH146" s="129">
        <f t="shared" si="93"/>
        <v>-57164</v>
      </c>
      <c r="AI146" s="129">
        <f t="shared" si="93"/>
        <v>-60601</v>
      </c>
      <c r="AJ146" s="129">
        <f t="shared" si="93"/>
        <v>-50200</v>
      </c>
      <c r="AK146" s="129">
        <f t="shared" si="93"/>
        <v>-45801</v>
      </c>
      <c r="AL146" s="433"/>
      <c r="AM146" s="98" t="s">
        <v>94</v>
      </c>
    </row>
    <row r="147" spans="1:39" x14ac:dyDescent="0.25">
      <c r="A147" s="156"/>
      <c r="B147" s="99"/>
      <c r="C147" s="79"/>
      <c r="D147" s="79"/>
      <c r="E147" s="79"/>
      <c r="F147" s="79"/>
      <c r="G147" s="79"/>
      <c r="H147" s="79"/>
      <c r="I147" s="79"/>
      <c r="J147" s="79"/>
      <c r="K147" s="79"/>
      <c r="L147" s="79"/>
      <c r="M147" s="79"/>
      <c r="N147" s="79"/>
      <c r="O147" s="79"/>
      <c r="P147" s="79"/>
      <c r="Q147" s="79"/>
      <c r="R147" s="79"/>
      <c r="S147" s="79"/>
      <c r="T147" s="79"/>
      <c r="U147" s="79"/>
      <c r="V147" s="79"/>
      <c r="W147" s="79"/>
      <c r="X147" s="79"/>
      <c r="Z147" s="131"/>
      <c r="AA147" s="131"/>
      <c r="AB147" s="131"/>
      <c r="AC147" s="131"/>
      <c r="AD147" s="131"/>
      <c r="AE147" s="131"/>
      <c r="AF147" s="131"/>
      <c r="AG147" s="131"/>
      <c r="AH147" s="131"/>
      <c r="AI147" s="131"/>
      <c r="AJ147" s="131"/>
      <c r="AK147" s="131"/>
      <c r="AL147" s="156"/>
      <c r="AM147" s="99"/>
    </row>
    <row r="148" spans="1:39" x14ac:dyDescent="0.25">
      <c r="A148" s="429" t="s">
        <v>35</v>
      </c>
      <c r="B148" s="97" t="s">
        <v>1</v>
      </c>
      <c r="C148" s="76">
        <v>877300</v>
      </c>
      <c r="D148" s="76">
        <v>551914</v>
      </c>
      <c r="E148" s="76">
        <v>616530</v>
      </c>
      <c r="F148" s="76">
        <v>676197</v>
      </c>
      <c r="G148" s="76">
        <v>853948</v>
      </c>
      <c r="H148" s="76">
        <v>711335</v>
      </c>
      <c r="I148" s="76">
        <v>824412</v>
      </c>
      <c r="J148" s="76">
        <v>857435</v>
      </c>
      <c r="K148" s="76">
        <v>760983</v>
      </c>
      <c r="L148" s="76">
        <v>837824</v>
      </c>
      <c r="M148" s="76">
        <v>885407</v>
      </c>
      <c r="N148" s="76">
        <v>731900</v>
      </c>
      <c r="O148" s="76">
        <v>819200</v>
      </c>
      <c r="P148" s="76">
        <v>821400</v>
      </c>
      <c r="Q148" s="76">
        <v>1019234</v>
      </c>
      <c r="R148" s="76">
        <v>924686</v>
      </c>
      <c r="S148" s="76">
        <v>1011633</v>
      </c>
      <c r="T148" s="76">
        <v>1112675</v>
      </c>
      <c r="U148" s="76">
        <v>899245</v>
      </c>
      <c r="V148" s="76">
        <v>967627</v>
      </c>
      <c r="W148" s="76">
        <v>1004191</v>
      </c>
      <c r="X148" s="76">
        <v>983648</v>
      </c>
      <c r="Y148" s="61">
        <v>1027844</v>
      </c>
      <c r="Z148" s="128">
        <v>990154</v>
      </c>
      <c r="AA148" s="165">
        <v>1158747</v>
      </c>
      <c r="AB148" s="165">
        <v>1125546</v>
      </c>
      <c r="AC148" s="165">
        <v>1080277</v>
      </c>
      <c r="AD148" s="165">
        <v>994596</v>
      </c>
      <c r="AE148" s="165">
        <v>1066787</v>
      </c>
      <c r="AF148" s="165">
        <v>692630</v>
      </c>
      <c r="AG148" s="165">
        <v>616930</v>
      </c>
      <c r="AH148" s="188"/>
      <c r="AI148" s="188"/>
      <c r="AJ148" s="188"/>
      <c r="AK148" s="188"/>
      <c r="AL148" s="430" t="s">
        <v>35</v>
      </c>
      <c r="AM148" s="97" t="s">
        <v>1</v>
      </c>
    </row>
    <row r="149" spans="1:39" x14ac:dyDescent="0.25">
      <c r="A149" s="429"/>
      <c r="B149" s="97" t="s">
        <v>2</v>
      </c>
      <c r="C149" s="78"/>
      <c r="D149" s="78"/>
      <c r="E149" s="78"/>
      <c r="F149" s="78"/>
      <c r="G149" s="78"/>
      <c r="H149" s="78"/>
      <c r="I149" s="78"/>
      <c r="J149" s="78"/>
      <c r="K149" s="78"/>
      <c r="L149" s="78"/>
      <c r="M149" s="78"/>
      <c r="N149" s="78"/>
      <c r="O149" s="78"/>
      <c r="P149" s="78"/>
      <c r="Q149" s="78"/>
      <c r="R149" s="78"/>
      <c r="S149" s="78"/>
      <c r="T149" s="78"/>
      <c r="U149" s="78"/>
      <c r="V149" s="78"/>
      <c r="W149" s="78"/>
      <c r="X149" s="78"/>
      <c r="Y149" s="63"/>
      <c r="Z149" s="166"/>
      <c r="AA149" s="166"/>
      <c r="AB149" s="166"/>
      <c r="AC149" s="166"/>
      <c r="AD149" s="166"/>
      <c r="AE149" s="166"/>
      <c r="AF149" s="166"/>
      <c r="AG149" s="166"/>
      <c r="AH149" s="166"/>
      <c r="AI149" s="166"/>
      <c r="AJ149" s="166"/>
      <c r="AK149" s="166"/>
      <c r="AL149" s="430"/>
      <c r="AM149" s="97" t="s">
        <v>2</v>
      </c>
    </row>
    <row r="150" spans="1:39" x14ac:dyDescent="0.25">
      <c r="A150" s="429"/>
      <c r="B150" s="97" t="s">
        <v>92</v>
      </c>
      <c r="C150" s="82">
        <v>877300</v>
      </c>
      <c r="D150" s="83">
        <v>551914</v>
      </c>
      <c r="E150" s="83">
        <v>616530</v>
      </c>
      <c r="F150" s="83">
        <v>676197</v>
      </c>
      <c r="G150" s="83">
        <v>853948</v>
      </c>
      <c r="H150" s="84">
        <v>711335</v>
      </c>
      <c r="I150" s="84">
        <v>824412</v>
      </c>
      <c r="J150" s="84">
        <v>857435</v>
      </c>
      <c r="K150" s="84">
        <v>761183</v>
      </c>
      <c r="L150" s="84">
        <v>837824</v>
      </c>
      <c r="M150" s="84">
        <v>885407</v>
      </c>
      <c r="N150" s="84">
        <v>731897</v>
      </c>
      <c r="O150" s="84">
        <v>819184</v>
      </c>
      <c r="P150" s="84">
        <v>821419</v>
      </c>
      <c r="Q150" s="84">
        <v>1019234</v>
      </c>
      <c r="R150" s="45">
        <v>919092</v>
      </c>
      <c r="S150" s="45">
        <v>1009430</v>
      </c>
      <c r="T150" s="45">
        <v>1106006</v>
      </c>
      <c r="U150" s="45">
        <v>893153</v>
      </c>
      <c r="V150" s="45">
        <v>964625</v>
      </c>
      <c r="W150" s="45">
        <v>1001940</v>
      </c>
      <c r="X150" s="45">
        <v>981219</v>
      </c>
      <c r="Y150" s="49">
        <v>1025293</v>
      </c>
      <c r="Z150" s="128">
        <v>987900</v>
      </c>
      <c r="AA150" s="128">
        <v>1156436</v>
      </c>
      <c r="AB150" s="128">
        <v>1123132</v>
      </c>
      <c r="AC150" s="128">
        <v>1066300</v>
      </c>
      <c r="AD150" s="128">
        <v>992398</v>
      </c>
      <c r="AE150" s="128">
        <v>1026575</v>
      </c>
      <c r="AF150" s="128">
        <v>1065537</v>
      </c>
      <c r="AG150" s="128">
        <v>985842</v>
      </c>
      <c r="AH150" s="128">
        <v>973667</v>
      </c>
      <c r="AI150" s="128">
        <v>919961</v>
      </c>
      <c r="AJ150" s="128">
        <v>689700</v>
      </c>
      <c r="AK150" s="128">
        <v>643316</v>
      </c>
      <c r="AL150" s="430"/>
      <c r="AM150" s="97" t="s">
        <v>92</v>
      </c>
    </row>
    <row r="151" spans="1:39" ht="20.25" customHeight="1" x14ac:dyDescent="0.25">
      <c r="A151" s="429"/>
      <c r="B151" s="98" t="s">
        <v>93</v>
      </c>
      <c r="C151" s="48">
        <f>C148-C150</f>
        <v>0</v>
      </c>
      <c r="D151" s="48">
        <f t="shared" ref="D151:Y151" si="94">D148-D150</f>
        <v>0</v>
      </c>
      <c r="E151" s="48">
        <f t="shared" si="94"/>
        <v>0</v>
      </c>
      <c r="F151" s="48">
        <f t="shared" si="94"/>
        <v>0</v>
      </c>
      <c r="G151" s="48">
        <f t="shared" si="94"/>
        <v>0</v>
      </c>
      <c r="H151" s="48">
        <f t="shared" si="94"/>
        <v>0</v>
      </c>
      <c r="I151" s="48">
        <f t="shared" si="94"/>
        <v>0</v>
      </c>
      <c r="J151" s="48">
        <f t="shared" si="94"/>
        <v>0</v>
      </c>
      <c r="K151" s="48">
        <f t="shared" si="94"/>
        <v>-200</v>
      </c>
      <c r="L151" s="48">
        <f t="shared" si="94"/>
        <v>0</v>
      </c>
      <c r="M151" s="48">
        <f t="shared" si="94"/>
        <v>0</v>
      </c>
      <c r="N151" s="48">
        <f t="shared" si="94"/>
        <v>3</v>
      </c>
      <c r="O151" s="48">
        <f t="shared" si="94"/>
        <v>16</v>
      </c>
      <c r="P151" s="48">
        <f t="shared" si="94"/>
        <v>-19</v>
      </c>
      <c r="Q151" s="48">
        <f t="shared" si="94"/>
        <v>0</v>
      </c>
      <c r="R151" s="48">
        <f t="shared" si="94"/>
        <v>5594</v>
      </c>
      <c r="S151" s="48">
        <f t="shared" si="94"/>
        <v>2203</v>
      </c>
      <c r="T151" s="48">
        <f t="shared" si="94"/>
        <v>6669</v>
      </c>
      <c r="U151" s="48">
        <f t="shared" si="94"/>
        <v>6092</v>
      </c>
      <c r="V151" s="48">
        <f t="shared" si="94"/>
        <v>3002</v>
      </c>
      <c r="W151" s="48">
        <f t="shared" si="94"/>
        <v>2251</v>
      </c>
      <c r="X151" s="48">
        <f t="shared" si="94"/>
        <v>2429</v>
      </c>
      <c r="Y151" s="48">
        <f t="shared" si="94"/>
        <v>2551</v>
      </c>
      <c r="Z151" s="129">
        <f t="shared" ref="Z151:AK151" si="95">Z148-Z150</f>
        <v>2254</v>
      </c>
      <c r="AA151" s="129">
        <f t="shared" si="95"/>
        <v>2311</v>
      </c>
      <c r="AB151" s="129">
        <f t="shared" si="95"/>
        <v>2414</v>
      </c>
      <c r="AC151" s="129">
        <f t="shared" si="95"/>
        <v>13977</v>
      </c>
      <c r="AD151" s="129">
        <f t="shared" si="95"/>
        <v>2198</v>
      </c>
      <c r="AE151" s="129">
        <f t="shared" si="95"/>
        <v>40212</v>
      </c>
      <c r="AF151" s="129">
        <f t="shared" si="95"/>
        <v>-372907</v>
      </c>
      <c r="AG151" s="129">
        <f t="shared" si="95"/>
        <v>-368912</v>
      </c>
      <c r="AH151" s="129">
        <f t="shared" si="95"/>
        <v>-973667</v>
      </c>
      <c r="AI151" s="129">
        <f t="shared" si="95"/>
        <v>-919961</v>
      </c>
      <c r="AJ151" s="129">
        <f t="shared" si="95"/>
        <v>-689700</v>
      </c>
      <c r="AK151" s="129">
        <f t="shared" si="95"/>
        <v>-643316</v>
      </c>
      <c r="AL151" s="430"/>
      <c r="AM151" s="98" t="s">
        <v>93</v>
      </c>
    </row>
    <row r="152" spans="1:39" ht="17.25" customHeight="1" x14ac:dyDescent="0.25">
      <c r="A152" s="429"/>
      <c r="B152" s="98" t="s">
        <v>94</v>
      </c>
      <c r="C152" s="44">
        <f>C149-C150</f>
        <v>-877300</v>
      </c>
      <c r="D152" s="44">
        <f t="shared" ref="D152:Y152" si="96">D149-D150</f>
        <v>-551914</v>
      </c>
      <c r="E152" s="44">
        <f t="shared" si="96"/>
        <v>-616530</v>
      </c>
      <c r="F152" s="44">
        <f t="shared" si="96"/>
        <v>-676197</v>
      </c>
      <c r="G152" s="44">
        <f t="shared" si="96"/>
        <v>-853948</v>
      </c>
      <c r="H152" s="44">
        <f t="shared" si="96"/>
        <v>-711335</v>
      </c>
      <c r="I152" s="44">
        <f t="shared" si="96"/>
        <v>-824412</v>
      </c>
      <c r="J152" s="44">
        <f t="shared" si="96"/>
        <v>-857435</v>
      </c>
      <c r="K152" s="44">
        <f t="shared" si="96"/>
        <v>-761183</v>
      </c>
      <c r="L152" s="44">
        <f t="shared" si="96"/>
        <v>-837824</v>
      </c>
      <c r="M152" s="44">
        <f t="shared" si="96"/>
        <v>-885407</v>
      </c>
      <c r="N152" s="44">
        <f t="shared" si="96"/>
        <v>-731897</v>
      </c>
      <c r="O152" s="44">
        <f t="shared" si="96"/>
        <v>-819184</v>
      </c>
      <c r="P152" s="44">
        <f t="shared" si="96"/>
        <v>-821419</v>
      </c>
      <c r="Q152" s="44">
        <f t="shared" si="96"/>
        <v>-1019234</v>
      </c>
      <c r="R152" s="44">
        <f t="shared" si="96"/>
        <v>-919092</v>
      </c>
      <c r="S152" s="44">
        <f t="shared" si="96"/>
        <v>-1009430</v>
      </c>
      <c r="T152" s="44">
        <f t="shared" si="96"/>
        <v>-1106006</v>
      </c>
      <c r="U152" s="44">
        <f t="shared" si="96"/>
        <v>-893153</v>
      </c>
      <c r="V152" s="44">
        <f t="shared" si="96"/>
        <v>-964625</v>
      </c>
      <c r="W152" s="44">
        <f t="shared" si="96"/>
        <v>-1001940</v>
      </c>
      <c r="X152" s="44">
        <f t="shared" si="96"/>
        <v>-981219</v>
      </c>
      <c r="Y152" s="44">
        <f t="shared" si="96"/>
        <v>-1025293</v>
      </c>
      <c r="Z152" s="129">
        <f t="shared" ref="Z152:AK152" si="97">Z149-Z150</f>
        <v>-987900</v>
      </c>
      <c r="AA152" s="129">
        <f t="shared" si="97"/>
        <v>-1156436</v>
      </c>
      <c r="AB152" s="129">
        <f t="shared" si="97"/>
        <v>-1123132</v>
      </c>
      <c r="AC152" s="129">
        <f t="shared" si="97"/>
        <v>-1066300</v>
      </c>
      <c r="AD152" s="129">
        <f t="shared" si="97"/>
        <v>-992398</v>
      </c>
      <c r="AE152" s="129">
        <f t="shared" si="97"/>
        <v>-1026575</v>
      </c>
      <c r="AF152" s="129">
        <f t="shared" si="97"/>
        <v>-1065537</v>
      </c>
      <c r="AG152" s="129">
        <f t="shared" si="97"/>
        <v>-985842</v>
      </c>
      <c r="AH152" s="129">
        <f t="shared" si="97"/>
        <v>-973667</v>
      </c>
      <c r="AI152" s="129">
        <f t="shared" si="97"/>
        <v>-919961</v>
      </c>
      <c r="AJ152" s="129">
        <f t="shared" si="97"/>
        <v>-689700</v>
      </c>
      <c r="AK152" s="129">
        <f t="shared" si="97"/>
        <v>-643316</v>
      </c>
      <c r="AL152" s="430"/>
      <c r="AM152" s="98" t="s">
        <v>94</v>
      </c>
    </row>
    <row r="153" spans="1:39" x14ac:dyDescent="0.25">
      <c r="A153" s="156"/>
      <c r="B153" s="99"/>
      <c r="C153" s="79"/>
      <c r="D153" s="79"/>
      <c r="E153" s="79"/>
      <c r="F153" s="79"/>
      <c r="G153" s="79"/>
      <c r="H153" s="79"/>
      <c r="I153" s="79"/>
      <c r="J153" s="79"/>
      <c r="K153" s="79"/>
      <c r="L153" s="79"/>
      <c r="M153" s="79"/>
      <c r="N153" s="79"/>
      <c r="O153" s="79"/>
      <c r="P153" s="79"/>
      <c r="Q153" s="79"/>
      <c r="R153" s="79"/>
      <c r="S153" s="79"/>
      <c r="T153" s="79"/>
      <c r="U153" s="79"/>
      <c r="V153" s="79"/>
      <c r="W153" s="79"/>
      <c r="X153" s="79"/>
      <c r="Z153" s="131"/>
      <c r="AA153" s="131"/>
      <c r="AB153" s="131"/>
      <c r="AC153" s="131"/>
      <c r="AD153" s="131"/>
      <c r="AE153" s="131"/>
      <c r="AF153" s="131"/>
      <c r="AG153" s="131"/>
      <c r="AH153" s="131"/>
      <c r="AI153" s="131"/>
      <c r="AJ153" s="131"/>
      <c r="AK153" s="131"/>
      <c r="AL153" s="156"/>
      <c r="AM153" s="99"/>
    </row>
    <row r="154" spans="1:39" x14ac:dyDescent="0.25">
      <c r="A154" s="429" t="s">
        <v>36</v>
      </c>
      <c r="B154" s="97" t="s">
        <v>1</v>
      </c>
      <c r="C154" s="38">
        <v>7000</v>
      </c>
      <c r="D154" s="38">
        <v>5220</v>
      </c>
      <c r="E154" s="38">
        <v>5608</v>
      </c>
      <c r="F154" s="38">
        <v>6173</v>
      </c>
      <c r="G154" s="38">
        <v>8000</v>
      </c>
      <c r="H154" s="38">
        <v>9000</v>
      </c>
      <c r="I154" s="38">
        <v>8000</v>
      </c>
      <c r="J154" s="38">
        <v>5000</v>
      </c>
      <c r="K154" s="38">
        <v>4000</v>
      </c>
      <c r="L154" s="38">
        <v>3000</v>
      </c>
      <c r="M154" s="38">
        <v>4000</v>
      </c>
      <c r="N154" s="38">
        <v>5000</v>
      </c>
      <c r="O154" s="38">
        <v>6000</v>
      </c>
      <c r="P154" s="38">
        <v>9000</v>
      </c>
      <c r="Q154" s="38">
        <v>80</v>
      </c>
      <c r="R154" s="38">
        <v>7050</v>
      </c>
      <c r="S154" s="38">
        <v>563</v>
      </c>
      <c r="T154" s="38">
        <v>2559</v>
      </c>
      <c r="U154" s="38">
        <v>1083</v>
      </c>
      <c r="V154" s="38">
        <v>1664</v>
      </c>
      <c r="W154" s="38">
        <v>7317</v>
      </c>
      <c r="X154" s="38">
        <v>9973</v>
      </c>
      <c r="Y154" s="61">
        <v>7661</v>
      </c>
      <c r="Z154" s="165">
        <v>9311</v>
      </c>
      <c r="AA154" s="165">
        <v>8785</v>
      </c>
      <c r="AB154" s="165">
        <v>9758</v>
      </c>
      <c r="AC154" s="165">
        <v>10955</v>
      </c>
      <c r="AD154" s="165">
        <v>14519</v>
      </c>
      <c r="AE154" s="165">
        <v>16000</v>
      </c>
      <c r="AF154" s="165">
        <v>15510</v>
      </c>
      <c r="AG154" s="165">
        <v>13870</v>
      </c>
      <c r="AH154" s="188"/>
      <c r="AI154" s="188"/>
      <c r="AJ154" s="188"/>
      <c r="AK154" s="188"/>
      <c r="AL154" s="430" t="s">
        <v>36</v>
      </c>
      <c r="AM154" s="97" t="s">
        <v>1</v>
      </c>
    </row>
    <row r="155" spans="1:39" x14ac:dyDescent="0.25">
      <c r="A155" s="436"/>
      <c r="B155" s="97" t="s">
        <v>2</v>
      </c>
      <c r="C155" s="85"/>
      <c r="D155" s="85"/>
      <c r="E155" s="85"/>
      <c r="F155" s="85"/>
      <c r="G155" s="85"/>
      <c r="H155" s="85"/>
      <c r="I155" s="85"/>
      <c r="J155" s="85"/>
      <c r="K155" s="85"/>
      <c r="L155" s="85"/>
      <c r="M155" s="85"/>
      <c r="N155" s="85"/>
      <c r="O155" s="85"/>
      <c r="P155" s="85"/>
      <c r="Q155" s="85"/>
      <c r="R155" s="85"/>
      <c r="S155" s="85"/>
      <c r="T155" s="85"/>
      <c r="U155" s="85"/>
      <c r="V155" s="85"/>
      <c r="W155" s="85"/>
      <c r="X155" s="85"/>
      <c r="Y155" s="63"/>
      <c r="Z155" s="166"/>
      <c r="AA155" s="166"/>
      <c r="AB155" s="166"/>
      <c r="AC155" s="166"/>
      <c r="AD155" s="166"/>
      <c r="AE155" s="166"/>
      <c r="AF155" s="166"/>
      <c r="AG155" s="166"/>
      <c r="AH155" s="166"/>
      <c r="AI155" s="166"/>
      <c r="AJ155" s="166"/>
      <c r="AK155" s="166"/>
      <c r="AL155" s="433"/>
      <c r="AM155" s="97" t="s">
        <v>2</v>
      </c>
    </row>
    <row r="156" spans="1:39" x14ac:dyDescent="0.25">
      <c r="A156" s="436"/>
      <c r="B156" s="97" t="s">
        <v>92</v>
      </c>
      <c r="C156" s="86">
        <v>0</v>
      </c>
      <c r="D156" s="86">
        <v>0</v>
      </c>
      <c r="E156" s="86">
        <v>0</v>
      </c>
      <c r="F156" s="87">
        <v>901</v>
      </c>
      <c r="G156" s="87">
        <v>638</v>
      </c>
      <c r="H156" s="45">
        <v>570</v>
      </c>
      <c r="I156" s="45">
        <v>600</v>
      </c>
      <c r="J156" s="45">
        <v>587</v>
      </c>
      <c r="K156" s="45">
        <v>401</v>
      </c>
      <c r="L156" s="45">
        <v>176</v>
      </c>
      <c r="M156" s="45">
        <v>34</v>
      </c>
      <c r="N156" s="45">
        <v>3</v>
      </c>
      <c r="O156" s="45">
        <v>2</v>
      </c>
      <c r="P156" s="45">
        <v>5</v>
      </c>
      <c r="Q156" s="45">
        <v>80</v>
      </c>
      <c r="R156" s="45">
        <v>7050</v>
      </c>
      <c r="S156" s="45">
        <v>563</v>
      </c>
      <c r="T156" s="45">
        <v>2559</v>
      </c>
      <c r="U156" s="45">
        <v>1083</v>
      </c>
      <c r="V156" s="45">
        <v>1664</v>
      </c>
      <c r="W156" s="45">
        <v>7317</v>
      </c>
      <c r="X156" s="45">
        <v>9973</v>
      </c>
      <c r="Y156" s="49">
        <v>7661</v>
      </c>
      <c r="Z156" s="169">
        <v>9311</v>
      </c>
      <c r="AA156" s="169">
        <v>8785</v>
      </c>
      <c r="AB156" s="169">
        <v>9758</v>
      </c>
      <c r="AC156" s="169">
        <v>10955</v>
      </c>
      <c r="AD156" s="171">
        <v>14519</v>
      </c>
      <c r="AE156" s="171">
        <v>15168</v>
      </c>
      <c r="AF156" s="171">
        <v>15511</v>
      </c>
      <c r="AG156" s="171">
        <v>13872</v>
      </c>
      <c r="AH156" s="171">
        <v>14316</v>
      </c>
      <c r="AI156" s="171">
        <v>14493</v>
      </c>
      <c r="AJ156" s="171">
        <v>14734</v>
      </c>
      <c r="AK156" s="171">
        <v>16189</v>
      </c>
      <c r="AL156" s="433"/>
      <c r="AM156" s="97" t="s">
        <v>92</v>
      </c>
    </row>
    <row r="157" spans="1:39" ht="20.25" customHeight="1" x14ac:dyDescent="0.25">
      <c r="A157" s="436"/>
      <c r="B157" s="98" t="s">
        <v>93</v>
      </c>
      <c r="C157" s="48">
        <f>C154-C156</f>
        <v>7000</v>
      </c>
      <c r="D157" s="48">
        <f t="shared" ref="D157:Y157" si="98">D154-D156</f>
        <v>5220</v>
      </c>
      <c r="E157" s="48">
        <f t="shared" si="98"/>
        <v>5608</v>
      </c>
      <c r="F157" s="48">
        <f t="shared" si="98"/>
        <v>5272</v>
      </c>
      <c r="G157" s="48">
        <f t="shared" si="98"/>
        <v>7362</v>
      </c>
      <c r="H157" s="48">
        <f t="shared" si="98"/>
        <v>8430</v>
      </c>
      <c r="I157" s="48">
        <f t="shared" si="98"/>
        <v>7400</v>
      </c>
      <c r="J157" s="48">
        <f t="shared" si="98"/>
        <v>4413</v>
      </c>
      <c r="K157" s="48">
        <f t="shared" si="98"/>
        <v>3599</v>
      </c>
      <c r="L157" s="48">
        <f t="shared" si="98"/>
        <v>2824</v>
      </c>
      <c r="M157" s="48">
        <f t="shared" si="98"/>
        <v>3966</v>
      </c>
      <c r="N157" s="48">
        <f t="shared" si="98"/>
        <v>4997</v>
      </c>
      <c r="O157" s="48">
        <f t="shared" si="98"/>
        <v>5998</v>
      </c>
      <c r="P157" s="48">
        <f t="shared" si="98"/>
        <v>8995</v>
      </c>
      <c r="Q157" s="48">
        <f t="shared" si="98"/>
        <v>0</v>
      </c>
      <c r="R157" s="48">
        <f t="shared" si="98"/>
        <v>0</v>
      </c>
      <c r="S157" s="48">
        <f t="shared" si="98"/>
        <v>0</v>
      </c>
      <c r="T157" s="48">
        <f t="shared" si="98"/>
        <v>0</v>
      </c>
      <c r="U157" s="48">
        <f t="shared" si="98"/>
        <v>0</v>
      </c>
      <c r="V157" s="48">
        <f t="shared" si="98"/>
        <v>0</v>
      </c>
      <c r="W157" s="48">
        <f t="shared" si="98"/>
        <v>0</v>
      </c>
      <c r="X157" s="48">
        <f t="shared" si="98"/>
        <v>0</v>
      </c>
      <c r="Y157" s="48">
        <f t="shared" si="98"/>
        <v>0</v>
      </c>
      <c r="Z157" s="170">
        <f t="shared" ref="Z157:AK157" si="99">Z154-Z156</f>
        <v>0</v>
      </c>
      <c r="AA157" s="170">
        <f t="shared" si="99"/>
        <v>0</v>
      </c>
      <c r="AB157" s="170">
        <f t="shared" si="99"/>
        <v>0</v>
      </c>
      <c r="AC157" s="170">
        <f t="shared" si="99"/>
        <v>0</v>
      </c>
      <c r="AD157" s="170">
        <f t="shared" si="99"/>
        <v>0</v>
      </c>
      <c r="AE157" s="170">
        <f t="shared" si="99"/>
        <v>832</v>
      </c>
      <c r="AF157" s="170">
        <f t="shared" si="99"/>
        <v>-1</v>
      </c>
      <c r="AG157" s="170">
        <f t="shared" si="99"/>
        <v>-2</v>
      </c>
      <c r="AH157" s="170">
        <f t="shared" si="99"/>
        <v>-14316</v>
      </c>
      <c r="AI157" s="170">
        <f t="shared" si="99"/>
        <v>-14493</v>
      </c>
      <c r="AJ157" s="170">
        <f t="shared" si="99"/>
        <v>-14734</v>
      </c>
      <c r="AK157" s="170">
        <f t="shared" si="99"/>
        <v>-16189</v>
      </c>
      <c r="AL157" s="433"/>
      <c r="AM157" s="98" t="s">
        <v>93</v>
      </c>
    </row>
    <row r="158" spans="1:39" ht="17.25" customHeight="1" x14ac:dyDescent="0.25">
      <c r="A158" s="436"/>
      <c r="B158" s="98" t="s">
        <v>94</v>
      </c>
      <c r="C158" s="44">
        <f>C155-C156</f>
        <v>0</v>
      </c>
      <c r="D158" s="44">
        <f t="shared" ref="D158:Y158" si="100">D155-D156</f>
        <v>0</v>
      </c>
      <c r="E158" s="44">
        <f t="shared" si="100"/>
        <v>0</v>
      </c>
      <c r="F158" s="44">
        <f t="shared" si="100"/>
        <v>-901</v>
      </c>
      <c r="G158" s="44">
        <f t="shared" si="100"/>
        <v>-638</v>
      </c>
      <c r="H158" s="44">
        <f t="shared" si="100"/>
        <v>-570</v>
      </c>
      <c r="I158" s="44">
        <f t="shared" si="100"/>
        <v>-600</v>
      </c>
      <c r="J158" s="44">
        <f t="shared" si="100"/>
        <v>-587</v>
      </c>
      <c r="K158" s="44">
        <f t="shared" si="100"/>
        <v>-401</v>
      </c>
      <c r="L158" s="44">
        <f t="shared" si="100"/>
        <v>-176</v>
      </c>
      <c r="M158" s="44">
        <f t="shared" si="100"/>
        <v>-34</v>
      </c>
      <c r="N158" s="44">
        <f t="shared" si="100"/>
        <v>-3</v>
      </c>
      <c r="O158" s="44">
        <f t="shared" si="100"/>
        <v>-2</v>
      </c>
      <c r="P158" s="44">
        <f t="shared" si="100"/>
        <v>-5</v>
      </c>
      <c r="Q158" s="44">
        <f t="shared" si="100"/>
        <v>-80</v>
      </c>
      <c r="R158" s="44">
        <f t="shared" si="100"/>
        <v>-7050</v>
      </c>
      <c r="S158" s="44">
        <f t="shared" si="100"/>
        <v>-563</v>
      </c>
      <c r="T158" s="44">
        <f t="shared" si="100"/>
        <v>-2559</v>
      </c>
      <c r="U158" s="44">
        <f t="shared" si="100"/>
        <v>-1083</v>
      </c>
      <c r="V158" s="44">
        <f t="shared" si="100"/>
        <v>-1664</v>
      </c>
      <c r="W158" s="44">
        <f t="shared" si="100"/>
        <v>-7317</v>
      </c>
      <c r="X158" s="44">
        <f t="shared" si="100"/>
        <v>-9973</v>
      </c>
      <c r="Y158" s="44">
        <f t="shared" si="100"/>
        <v>-7661</v>
      </c>
      <c r="Z158" s="170">
        <f t="shared" ref="Z158:AK158" si="101">Z155-Z156</f>
        <v>-9311</v>
      </c>
      <c r="AA158" s="170">
        <f t="shared" si="101"/>
        <v>-8785</v>
      </c>
      <c r="AB158" s="170">
        <f t="shared" si="101"/>
        <v>-9758</v>
      </c>
      <c r="AC158" s="170">
        <f t="shared" si="101"/>
        <v>-10955</v>
      </c>
      <c r="AD158" s="170">
        <f t="shared" si="101"/>
        <v>-14519</v>
      </c>
      <c r="AE158" s="170">
        <f t="shared" si="101"/>
        <v>-15168</v>
      </c>
      <c r="AF158" s="170">
        <f t="shared" si="101"/>
        <v>-15511</v>
      </c>
      <c r="AG158" s="170">
        <f t="shared" si="101"/>
        <v>-13872</v>
      </c>
      <c r="AH158" s="170">
        <f t="shared" si="101"/>
        <v>-14316</v>
      </c>
      <c r="AI158" s="170">
        <f t="shared" si="101"/>
        <v>-14493</v>
      </c>
      <c r="AJ158" s="170">
        <f t="shared" si="101"/>
        <v>-14734</v>
      </c>
      <c r="AK158" s="170">
        <f t="shared" si="101"/>
        <v>-16189</v>
      </c>
      <c r="AL158" s="433"/>
      <c r="AM158" s="98" t="s">
        <v>94</v>
      </c>
    </row>
    <row r="159" spans="1:39" s="21" customFormat="1" x14ac:dyDescent="0.25">
      <c r="A159" s="157"/>
      <c r="B159" s="99"/>
      <c r="C159" s="79"/>
      <c r="D159" s="79"/>
      <c r="E159" s="79"/>
      <c r="F159" s="79"/>
      <c r="G159" s="79"/>
      <c r="H159" s="79"/>
      <c r="I159" s="79"/>
      <c r="J159" s="79"/>
      <c r="K159" s="79"/>
      <c r="L159" s="79"/>
      <c r="M159" s="79"/>
      <c r="N159" s="79"/>
      <c r="O159" s="79"/>
      <c r="P159" s="79"/>
      <c r="Q159" s="79"/>
      <c r="R159" s="79"/>
      <c r="S159" s="79"/>
      <c r="T159" s="79"/>
      <c r="U159" s="79"/>
      <c r="V159" s="79"/>
      <c r="W159" s="79"/>
      <c r="X159" s="79"/>
      <c r="Y159" s="80"/>
      <c r="Z159" s="131"/>
      <c r="AA159" s="131"/>
      <c r="AB159" s="131"/>
      <c r="AC159" s="131"/>
      <c r="AD159" s="131"/>
      <c r="AE159" s="131"/>
      <c r="AF159" s="131"/>
      <c r="AG159" s="131"/>
      <c r="AH159" s="131"/>
      <c r="AI159" s="131"/>
      <c r="AJ159" s="131"/>
      <c r="AK159" s="131"/>
      <c r="AL159" s="157"/>
      <c r="AM159" s="99"/>
    </row>
    <row r="160" spans="1:39" ht="15" customHeight="1" x14ac:dyDescent="0.25">
      <c r="A160" s="429" t="s">
        <v>37</v>
      </c>
      <c r="B160" s="97" t="s">
        <v>1</v>
      </c>
      <c r="C160" s="94"/>
      <c r="D160" s="94"/>
      <c r="E160" s="94"/>
      <c r="F160" s="94"/>
      <c r="G160" s="47"/>
      <c r="H160" s="94"/>
      <c r="I160" s="94"/>
      <c r="J160" s="94"/>
      <c r="K160" s="94"/>
      <c r="L160" s="94"/>
      <c r="M160" s="94"/>
      <c r="N160" s="47"/>
      <c r="O160" s="94"/>
      <c r="P160" s="94"/>
      <c r="Q160" s="94"/>
      <c r="R160" s="94"/>
      <c r="S160" s="94"/>
      <c r="T160" s="94"/>
      <c r="U160" s="94"/>
      <c r="V160" s="94"/>
      <c r="W160" s="94"/>
      <c r="X160" s="94"/>
      <c r="Y160" s="94"/>
      <c r="Z160" s="173"/>
      <c r="AA160" s="173"/>
      <c r="AB160" s="173"/>
      <c r="AC160" s="173"/>
      <c r="AD160" s="173"/>
      <c r="AE160" s="173"/>
      <c r="AF160" s="173"/>
      <c r="AG160" s="173"/>
      <c r="AH160" s="173"/>
      <c r="AI160" s="173"/>
      <c r="AJ160" s="173"/>
      <c r="AK160" s="173"/>
      <c r="AL160" s="430" t="s">
        <v>37</v>
      </c>
      <c r="AM160" s="97" t="s">
        <v>1</v>
      </c>
    </row>
    <row r="161" spans="1:39" x14ac:dyDescent="0.25">
      <c r="A161" s="436"/>
      <c r="B161" s="97" t="s">
        <v>2</v>
      </c>
      <c r="C161" s="94"/>
      <c r="D161" s="94"/>
      <c r="E161" s="94"/>
      <c r="F161" s="94"/>
      <c r="G161" s="94"/>
      <c r="H161" s="94"/>
      <c r="I161" s="94"/>
      <c r="J161" s="94"/>
      <c r="K161" s="94"/>
      <c r="L161" s="94"/>
      <c r="M161" s="94"/>
      <c r="N161" s="49">
        <v>3057300</v>
      </c>
      <c r="O161" s="49">
        <v>3848100</v>
      </c>
      <c r="P161" s="49">
        <v>3973500</v>
      </c>
      <c r="Q161" s="49">
        <v>1894600</v>
      </c>
      <c r="R161" s="49">
        <v>2473400</v>
      </c>
      <c r="S161" s="49">
        <v>1986300</v>
      </c>
      <c r="T161" s="49">
        <v>237100</v>
      </c>
      <c r="U161" s="49">
        <v>1736900</v>
      </c>
      <c r="V161" s="49">
        <v>2092800</v>
      </c>
      <c r="W161" s="49">
        <v>2073400</v>
      </c>
      <c r="X161" s="49">
        <v>1800400</v>
      </c>
      <c r="Y161" s="46">
        <v>2709600</v>
      </c>
      <c r="Z161" s="169">
        <v>2558700</v>
      </c>
      <c r="AA161" s="169">
        <v>2138900</v>
      </c>
      <c r="AB161" s="189"/>
      <c r="AC161" s="189"/>
      <c r="AD161" s="189"/>
      <c r="AE161" s="189"/>
      <c r="AF161" s="189"/>
      <c r="AG161" s="189"/>
      <c r="AH161" s="189"/>
      <c r="AI161" s="189"/>
      <c r="AJ161" s="189"/>
      <c r="AK161" s="189"/>
      <c r="AL161" s="433"/>
      <c r="AM161" s="97" t="s">
        <v>2</v>
      </c>
    </row>
    <row r="162" spans="1:39" x14ac:dyDescent="0.25">
      <c r="A162" s="436"/>
      <c r="B162" s="97" t="s">
        <v>97</v>
      </c>
      <c r="C162" s="49">
        <v>4195600</v>
      </c>
      <c r="D162" s="49">
        <v>3051200</v>
      </c>
      <c r="E162" s="49">
        <v>3246400</v>
      </c>
      <c r="F162" s="49">
        <v>3461200</v>
      </c>
      <c r="G162" s="49">
        <v>3992100</v>
      </c>
      <c r="H162" s="49">
        <v>3548700</v>
      </c>
      <c r="I162" s="49">
        <v>3868500</v>
      </c>
      <c r="J162" s="49">
        <v>3934400</v>
      </c>
      <c r="K162" s="49">
        <v>3559600</v>
      </c>
      <c r="L162" s="49">
        <v>3939900</v>
      </c>
      <c r="M162" s="49">
        <v>4365600</v>
      </c>
      <c r="N162" s="49">
        <v>3381100</v>
      </c>
      <c r="O162" s="49">
        <v>3848300</v>
      </c>
      <c r="P162" s="49">
        <v>3973400</v>
      </c>
      <c r="Q162" s="49">
        <v>4684500</v>
      </c>
      <c r="R162" s="49">
        <v>4773916</v>
      </c>
      <c r="S162" s="49">
        <v>3624612</v>
      </c>
      <c r="T162" s="49">
        <v>4138862</v>
      </c>
      <c r="U162" s="49">
        <v>3116801</v>
      </c>
      <c r="V162" s="49">
        <v>3819890</v>
      </c>
      <c r="W162" s="49">
        <v>3901862</v>
      </c>
      <c r="X162" s="49">
        <v>3863617</v>
      </c>
      <c r="Y162" s="49">
        <v>4176298</v>
      </c>
      <c r="Z162" s="169">
        <v>3535316</v>
      </c>
      <c r="AA162" s="169">
        <v>3960990</v>
      </c>
      <c r="AB162" s="169">
        <v>3802494</v>
      </c>
      <c r="AC162" s="169">
        <v>3629600</v>
      </c>
      <c r="AD162" s="169">
        <v>3358389</v>
      </c>
      <c r="AE162" s="169">
        <v>3638447</v>
      </c>
      <c r="AF162" s="169">
        <v>3797436</v>
      </c>
      <c r="AG162" s="169">
        <v>3529648</v>
      </c>
      <c r="AH162" s="169">
        <v>3482943</v>
      </c>
      <c r="AI162" s="169">
        <v>3495105</v>
      </c>
      <c r="AJ162" s="169">
        <v>2426100</v>
      </c>
      <c r="AK162" s="169">
        <v>2313038</v>
      </c>
      <c r="AL162" s="433"/>
      <c r="AM162" s="97" t="s">
        <v>92</v>
      </c>
    </row>
    <row r="163" spans="1:39" ht="19.5" customHeight="1" x14ac:dyDescent="0.25">
      <c r="A163" s="436"/>
      <c r="B163" s="98" t="s">
        <v>93</v>
      </c>
      <c r="C163" s="44">
        <f t="shared" ref="C163:T163" si="102">C160-C162</f>
        <v>-4195600</v>
      </c>
      <c r="D163" s="44">
        <f t="shared" si="102"/>
        <v>-3051200</v>
      </c>
      <c r="E163" s="44">
        <f t="shared" si="102"/>
        <v>-3246400</v>
      </c>
      <c r="F163" s="44">
        <f t="shared" si="102"/>
        <v>-3461200</v>
      </c>
      <c r="G163" s="44">
        <f t="shared" si="102"/>
        <v>-3992100</v>
      </c>
      <c r="H163" s="44">
        <f t="shared" si="102"/>
        <v>-3548700</v>
      </c>
      <c r="I163" s="44">
        <f t="shared" si="102"/>
        <v>-3868500</v>
      </c>
      <c r="J163" s="44">
        <f t="shared" si="102"/>
        <v>-3934400</v>
      </c>
      <c r="K163" s="44">
        <f t="shared" si="102"/>
        <v>-3559600</v>
      </c>
      <c r="L163" s="44">
        <f t="shared" si="102"/>
        <v>-3939900</v>
      </c>
      <c r="M163" s="44">
        <f t="shared" si="102"/>
        <v>-4365600</v>
      </c>
      <c r="N163" s="44">
        <f t="shared" si="102"/>
        <v>-3381100</v>
      </c>
      <c r="O163" s="44">
        <f t="shared" si="102"/>
        <v>-3848300</v>
      </c>
      <c r="P163" s="44">
        <f t="shared" si="102"/>
        <v>-3973400</v>
      </c>
      <c r="Q163" s="44">
        <f t="shared" si="102"/>
        <v>-4684500</v>
      </c>
      <c r="R163" s="44">
        <f t="shared" si="102"/>
        <v>-4773916</v>
      </c>
      <c r="S163" s="44">
        <f t="shared" si="102"/>
        <v>-3624612</v>
      </c>
      <c r="T163" s="44">
        <f t="shared" si="102"/>
        <v>-4138862</v>
      </c>
      <c r="U163" s="44">
        <f>U160-U161</f>
        <v>-1736900</v>
      </c>
      <c r="V163" s="44">
        <f t="shared" ref="V163:AK163" si="103">V160-V162</f>
        <v>-3819890</v>
      </c>
      <c r="W163" s="44">
        <f t="shared" si="103"/>
        <v>-3901862</v>
      </c>
      <c r="X163" s="44">
        <f t="shared" si="103"/>
        <v>-3863617</v>
      </c>
      <c r="Y163" s="44">
        <f t="shared" si="103"/>
        <v>-4176298</v>
      </c>
      <c r="Z163" s="129">
        <f t="shared" si="103"/>
        <v>-3535316</v>
      </c>
      <c r="AA163" s="129">
        <f t="shared" si="103"/>
        <v>-3960990</v>
      </c>
      <c r="AB163" s="129">
        <f t="shared" si="103"/>
        <v>-3802494</v>
      </c>
      <c r="AC163" s="129">
        <f t="shared" si="103"/>
        <v>-3629600</v>
      </c>
      <c r="AD163" s="129">
        <f t="shared" si="103"/>
        <v>-3358389</v>
      </c>
      <c r="AE163" s="129">
        <f t="shared" si="103"/>
        <v>-3638447</v>
      </c>
      <c r="AF163" s="129">
        <f t="shared" si="103"/>
        <v>-3797436</v>
      </c>
      <c r="AG163" s="129">
        <f t="shared" si="103"/>
        <v>-3529648</v>
      </c>
      <c r="AH163" s="129">
        <f t="shared" si="103"/>
        <v>-3482943</v>
      </c>
      <c r="AI163" s="129">
        <f t="shared" si="103"/>
        <v>-3495105</v>
      </c>
      <c r="AJ163" s="129">
        <f t="shared" si="103"/>
        <v>-2426100</v>
      </c>
      <c r="AK163" s="129">
        <f t="shared" si="103"/>
        <v>-2313038</v>
      </c>
      <c r="AL163" s="433"/>
      <c r="AM163" s="98" t="s">
        <v>93</v>
      </c>
    </row>
    <row r="164" spans="1:39" ht="18.75" customHeight="1" x14ac:dyDescent="0.25">
      <c r="A164" s="436"/>
      <c r="B164" s="98" t="s">
        <v>94</v>
      </c>
      <c r="C164" s="44">
        <f t="shared" ref="C164:T164" si="104">C161-C162</f>
        <v>-4195600</v>
      </c>
      <c r="D164" s="44">
        <f t="shared" si="104"/>
        <v>-3051200</v>
      </c>
      <c r="E164" s="44">
        <f t="shared" si="104"/>
        <v>-3246400</v>
      </c>
      <c r="F164" s="44">
        <f t="shared" si="104"/>
        <v>-3461200</v>
      </c>
      <c r="G164" s="44">
        <f t="shared" si="104"/>
        <v>-3992100</v>
      </c>
      <c r="H164" s="44">
        <f t="shared" si="104"/>
        <v>-3548700</v>
      </c>
      <c r="I164" s="44">
        <f t="shared" si="104"/>
        <v>-3868500</v>
      </c>
      <c r="J164" s="44">
        <f t="shared" si="104"/>
        <v>-3934400</v>
      </c>
      <c r="K164" s="44">
        <f t="shared" si="104"/>
        <v>-3559600</v>
      </c>
      <c r="L164" s="44">
        <f t="shared" si="104"/>
        <v>-3939900</v>
      </c>
      <c r="M164" s="44">
        <f t="shared" si="104"/>
        <v>-4365600</v>
      </c>
      <c r="N164" s="44">
        <f t="shared" si="104"/>
        <v>-323800</v>
      </c>
      <c r="O164" s="44">
        <f t="shared" si="104"/>
        <v>-200</v>
      </c>
      <c r="P164" s="44">
        <f t="shared" si="104"/>
        <v>100</v>
      </c>
      <c r="Q164" s="44">
        <f t="shared" si="104"/>
        <v>-2789900</v>
      </c>
      <c r="R164" s="44">
        <f t="shared" si="104"/>
        <v>-2300516</v>
      </c>
      <c r="S164" s="44">
        <f t="shared" si="104"/>
        <v>-1638312</v>
      </c>
      <c r="T164" s="44">
        <f t="shared" si="104"/>
        <v>-3901762</v>
      </c>
      <c r="U164" s="44">
        <f>U161-U162</f>
        <v>-1379901</v>
      </c>
      <c r="V164" s="44">
        <f t="shared" ref="V164:AK164" si="105">V161-V162</f>
        <v>-1727090</v>
      </c>
      <c r="W164" s="44">
        <f t="shared" si="105"/>
        <v>-1828462</v>
      </c>
      <c r="X164" s="44">
        <f t="shared" si="105"/>
        <v>-2063217</v>
      </c>
      <c r="Y164" s="44">
        <f t="shared" si="105"/>
        <v>-1466698</v>
      </c>
      <c r="Z164" s="129">
        <f t="shared" si="105"/>
        <v>-976616</v>
      </c>
      <c r="AA164" s="129">
        <f t="shared" si="105"/>
        <v>-1822090</v>
      </c>
      <c r="AB164" s="129">
        <f t="shared" si="105"/>
        <v>-3802494</v>
      </c>
      <c r="AC164" s="129">
        <f t="shared" si="105"/>
        <v>-3629600</v>
      </c>
      <c r="AD164" s="129">
        <f t="shared" si="105"/>
        <v>-3358389</v>
      </c>
      <c r="AE164" s="129">
        <f t="shared" si="105"/>
        <v>-3638447</v>
      </c>
      <c r="AF164" s="129">
        <f t="shared" si="105"/>
        <v>-3797436</v>
      </c>
      <c r="AG164" s="129">
        <f t="shared" si="105"/>
        <v>-3529648</v>
      </c>
      <c r="AH164" s="129">
        <f t="shared" si="105"/>
        <v>-3482943</v>
      </c>
      <c r="AI164" s="129">
        <f t="shared" si="105"/>
        <v>-3495105</v>
      </c>
      <c r="AJ164" s="129">
        <f t="shared" si="105"/>
        <v>-2426100</v>
      </c>
      <c r="AK164" s="129">
        <f t="shared" si="105"/>
        <v>-2313038</v>
      </c>
      <c r="AL164" s="433"/>
      <c r="AM164" s="98" t="s">
        <v>94</v>
      </c>
    </row>
    <row r="165" spans="1:39" ht="18.75" customHeight="1" x14ac:dyDescent="0.25">
      <c r="A165" s="110"/>
      <c r="B165" s="97"/>
      <c r="C165" s="46"/>
      <c r="D165" s="46"/>
      <c r="E165" s="46"/>
      <c r="F165" s="46"/>
      <c r="G165" s="46"/>
      <c r="H165" s="46"/>
      <c r="I165" s="46"/>
      <c r="J165" s="46"/>
      <c r="K165" s="46"/>
      <c r="L165" s="46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77"/>
      <c r="AA165" s="77"/>
      <c r="AB165" s="77"/>
      <c r="AC165" s="77"/>
      <c r="AD165" s="77"/>
      <c r="AE165" s="77"/>
      <c r="AF165" s="77"/>
      <c r="AG165" s="77"/>
      <c r="AH165" s="77"/>
      <c r="AI165" s="77"/>
      <c r="AJ165" s="77"/>
      <c r="AK165" s="77"/>
      <c r="AL165" s="102"/>
      <c r="AM165" s="97"/>
    </row>
    <row r="166" spans="1:39" ht="18.75" customHeight="1" x14ac:dyDescent="0.25">
      <c r="A166" s="110"/>
      <c r="B166" s="97"/>
      <c r="C166" s="46"/>
      <c r="D166" s="46"/>
      <c r="E166" s="46"/>
      <c r="F166" s="46"/>
      <c r="G166" s="46"/>
      <c r="H166" s="46"/>
      <c r="I166" s="46"/>
      <c r="J166" s="46"/>
      <c r="K166" s="46"/>
      <c r="L166" s="46"/>
      <c r="M166" s="46"/>
      <c r="N166" s="46">
        <f>(N162*100)/N161-100</f>
        <v>10.591044385568964</v>
      </c>
      <c r="O166" s="46">
        <f>(O162*100)/O161-100</f>
        <v>5.1973701307161946E-3</v>
      </c>
      <c r="P166" s="46">
        <f t="shared" ref="P166:Z166" si="106">((P162*100)/P161)-100</f>
        <v>-2.5166729583503411E-3</v>
      </c>
      <c r="Q166" s="46">
        <f>(Q162*100)/Q161-100</f>
        <v>147.25535733136283</v>
      </c>
      <c r="R166" s="46">
        <f t="shared" si="106"/>
        <v>93.010269264979371</v>
      </c>
      <c r="S166" s="46">
        <f t="shared" si="106"/>
        <v>82.480592055580729</v>
      </c>
      <c r="T166" s="46">
        <f>(T162*100)/T161-100</f>
        <v>1645.6187262758331</v>
      </c>
      <c r="U166" s="46">
        <f t="shared" si="106"/>
        <v>79.446197247970531</v>
      </c>
      <c r="V166" s="46">
        <f t="shared" si="106"/>
        <v>82.525324923547402</v>
      </c>
      <c r="W166" s="46">
        <f t="shared" si="106"/>
        <v>88.186649946947057</v>
      </c>
      <c r="X166" s="46">
        <f t="shared" si="106"/>
        <v>114.59770051099756</v>
      </c>
      <c r="Y166" s="46">
        <f t="shared" si="106"/>
        <v>54.129687038677304</v>
      </c>
      <c r="Z166" s="46">
        <f t="shared" si="106"/>
        <v>38.168444913432609</v>
      </c>
      <c r="AA166" s="46">
        <f t="shared" ref="AA166:AK166" si="107">(AA162*100)/AA161-100</f>
        <v>85.188180840618998</v>
      </c>
      <c r="AB166" s="46" t="e">
        <f t="shared" si="107"/>
        <v>#DIV/0!</v>
      </c>
      <c r="AC166" s="46" t="e">
        <f t="shared" si="107"/>
        <v>#DIV/0!</v>
      </c>
      <c r="AD166" s="46" t="e">
        <f t="shared" si="107"/>
        <v>#DIV/0!</v>
      </c>
      <c r="AE166" s="46" t="e">
        <f t="shared" si="107"/>
        <v>#DIV/0!</v>
      </c>
      <c r="AF166" s="46" t="e">
        <f t="shared" si="107"/>
        <v>#DIV/0!</v>
      </c>
      <c r="AG166" s="46" t="e">
        <f t="shared" si="107"/>
        <v>#DIV/0!</v>
      </c>
      <c r="AH166" s="46" t="e">
        <f t="shared" si="107"/>
        <v>#DIV/0!</v>
      </c>
      <c r="AI166" s="46" t="e">
        <f t="shared" si="107"/>
        <v>#DIV/0!</v>
      </c>
      <c r="AJ166" s="46" t="e">
        <f t="shared" si="107"/>
        <v>#DIV/0!</v>
      </c>
      <c r="AK166" s="46" t="e">
        <f t="shared" si="107"/>
        <v>#DIV/0!</v>
      </c>
      <c r="AL166" s="46"/>
      <c r="AM166" s="97"/>
    </row>
    <row r="167" spans="1:39" ht="18.75" customHeight="1" x14ac:dyDescent="0.25">
      <c r="A167" s="110"/>
      <c r="B167" s="97"/>
      <c r="C167" s="46"/>
      <c r="D167" s="46"/>
      <c r="E167" s="46"/>
      <c r="F167" s="46"/>
      <c r="G167" s="46"/>
      <c r="H167" s="46"/>
      <c r="I167" s="46"/>
      <c r="J167" s="46"/>
      <c r="K167" s="46"/>
      <c r="L167" s="46"/>
      <c r="M167" s="46"/>
      <c r="N167" s="46"/>
      <c r="O167" s="46"/>
      <c r="P167" s="46"/>
      <c r="Q167" s="46"/>
      <c r="R167" s="46"/>
      <c r="S167" s="46"/>
      <c r="T167" s="46"/>
      <c r="U167" s="46"/>
      <c r="V167" s="46"/>
      <c r="W167" s="46"/>
      <c r="X167" s="46"/>
      <c r="Y167" s="46"/>
      <c r="Z167" s="77"/>
      <c r="AA167" s="77"/>
      <c r="AB167" s="77"/>
      <c r="AC167" s="77"/>
      <c r="AD167" s="77"/>
      <c r="AE167" s="77"/>
      <c r="AF167" s="77"/>
      <c r="AG167" s="77"/>
      <c r="AH167" s="77"/>
      <c r="AI167" s="77"/>
      <c r="AJ167" s="77"/>
      <c r="AK167" s="77"/>
      <c r="AL167" s="102"/>
      <c r="AM167" s="97"/>
    </row>
    <row r="168" spans="1:39" ht="18.75" customHeight="1" x14ac:dyDescent="0.25">
      <c r="A168" s="110"/>
      <c r="B168" s="97"/>
      <c r="C168" s="46"/>
      <c r="D168" s="46"/>
      <c r="E168" s="46"/>
      <c r="F168" s="46"/>
      <c r="G168" s="46"/>
      <c r="H168" s="46"/>
      <c r="I168" s="46"/>
      <c r="J168" s="46"/>
      <c r="K168" s="46"/>
      <c r="L168" s="46"/>
      <c r="M168" s="46"/>
      <c r="N168" s="46"/>
      <c r="O168" s="46"/>
      <c r="P168" s="46"/>
      <c r="Q168" s="46"/>
      <c r="R168" s="46"/>
      <c r="S168" s="46"/>
      <c r="T168" s="46"/>
      <c r="U168" s="46"/>
      <c r="V168" s="46"/>
      <c r="W168" s="46"/>
      <c r="X168" s="46"/>
      <c r="Y168" s="46"/>
      <c r="Z168" s="77"/>
      <c r="AA168" s="77"/>
      <c r="AB168" s="77"/>
      <c r="AC168" s="77"/>
      <c r="AD168" s="77"/>
      <c r="AE168" s="77"/>
      <c r="AF168" s="77"/>
      <c r="AG168" s="77"/>
      <c r="AH168" s="77"/>
      <c r="AI168" s="77"/>
      <c r="AJ168" s="77"/>
      <c r="AK168" s="77"/>
      <c r="AL168" s="102"/>
      <c r="AM168" s="97"/>
    </row>
    <row r="169" spans="1:39" x14ac:dyDescent="0.25">
      <c r="B169" s="111" t="s">
        <v>44</v>
      </c>
      <c r="N169" s="100"/>
      <c r="O169" s="100"/>
      <c r="P169" s="100"/>
      <c r="Q169" s="100"/>
      <c r="R169" s="100"/>
      <c r="S169" s="100"/>
      <c r="T169" s="100"/>
      <c r="U169" s="100"/>
      <c r="V169" s="100"/>
      <c r="W169" s="100"/>
      <c r="X169" s="100"/>
    </row>
    <row r="170" spans="1:39" x14ac:dyDescent="0.25">
      <c r="B170" s="99"/>
      <c r="C170" s="103"/>
      <c r="D170" s="103"/>
      <c r="E170" s="103"/>
      <c r="F170" s="103"/>
      <c r="G170" s="103"/>
      <c r="H170" s="103"/>
      <c r="I170" s="103"/>
      <c r="J170" s="103"/>
      <c r="K170" s="103"/>
      <c r="L170" s="103"/>
      <c r="M170" s="103"/>
      <c r="N170" s="103"/>
      <c r="O170" s="103"/>
      <c r="P170" s="103"/>
      <c r="Q170" s="103"/>
      <c r="R170" s="103"/>
      <c r="S170" s="103"/>
      <c r="T170" s="103"/>
      <c r="U170" s="103"/>
      <c r="V170" s="103"/>
      <c r="W170" s="103"/>
      <c r="X170" s="104"/>
    </row>
    <row r="171" spans="1:39" ht="40.5" customHeight="1" x14ac:dyDescent="0.25">
      <c r="B171" s="111" t="s">
        <v>98</v>
      </c>
      <c r="C171" s="427" t="s">
        <v>100</v>
      </c>
      <c r="D171" s="428"/>
      <c r="E171" s="428"/>
      <c r="F171" s="428"/>
      <c r="G171" s="428"/>
      <c r="H171" s="428"/>
      <c r="I171" s="428"/>
      <c r="J171" s="428"/>
      <c r="K171" s="428"/>
      <c r="L171" s="428"/>
      <c r="M171" s="428"/>
      <c r="N171" s="428"/>
      <c r="O171" s="428"/>
      <c r="P171" s="428"/>
      <c r="Q171" s="428"/>
      <c r="R171" s="428"/>
      <c r="S171" s="428"/>
      <c r="T171" s="428"/>
      <c r="U171" s="428"/>
      <c r="V171" s="428"/>
      <c r="W171" s="428"/>
      <c r="X171" s="428"/>
    </row>
    <row r="172" spans="1:39" ht="34.5" customHeight="1" x14ac:dyDescent="0.25">
      <c r="B172" s="97" t="s">
        <v>99</v>
      </c>
      <c r="C172" s="448" t="s">
        <v>101</v>
      </c>
      <c r="D172" s="448"/>
      <c r="E172" s="448"/>
      <c r="F172" s="448"/>
      <c r="G172" s="448"/>
      <c r="H172" s="448"/>
      <c r="I172" s="448"/>
      <c r="J172" s="448"/>
      <c r="K172" s="448"/>
      <c r="L172" s="448"/>
      <c r="M172" s="448"/>
      <c r="N172" s="448"/>
      <c r="O172" s="448"/>
      <c r="P172" s="448"/>
      <c r="Q172" s="448"/>
      <c r="R172" s="448"/>
      <c r="S172" s="448"/>
      <c r="T172" s="448"/>
      <c r="U172" s="448"/>
      <c r="V172" s="80"/>
      <c r="W172" s="80"/>
      <c r="X172" s="80"/>
    </row>
    <row r="173" spans="1:39" x14ac:dyDescent="0.25">
      <c r="B173" s="97"/>
      <c r="C173" s="105"/>
      <c r="D173" s="106"/>
      <c r="E173" s="106"/>
      <c r="F173" s="106"/>
      <c r="G173" s="106"/>
      <c r="H173" s="107"/>
      <c r="I173" s="107"/>
      <c r="J173" s="107"/>
      <c r="K173" s="107"/>
      <c r="L173" s="107"/>
      <c r="M173" s="107"/>
      <c r="N173" s="107"/>
      <c r="O173" s="107"/>
      <c r="P173" s="107"/>
      <c r="Q173" s="107"/>
      <c r="R173" s="107"/>
      <c r="S173" s="107"/>
      <c r="T173" s="107"/>
      <c r="U173" s="107"/>
      <c r="V173" s="107"/>
      <c r="W173" s="107"/>
      <c r="X173" s="107"/>
    </row>
    <row r="174" spans="1:39" x14ac:dyDescent="0.25">
      <c r="B174" s="99"/>
      <c r="C174" s="108"/>
      <c r="D174" s="108"/>
      <c r="E174" s="108"/>
      <c r="F174" s="108"/>
      <c r="G174" s="108"/>
      <c r="H174" s="108"/>
      <c r="I174" s="108"/>
      <c r="J174" s="108"/>
      <c r="K174" s="108"/>
      <c r="L174" s="108"/>
      <c r="M174" s="108"/>
      <c r="N174" s="108"/>
      <c r="O174" s="108"/>
      <c r="P174" s="108"/>
      <c r="Q174" s="108"/>
      <c r="R174" s="108"/>
      <c r="S174" s="108"/>
      <c r="T174" s="108"/>
      <c r="U174" s="108"/>
      <c r="V174" s="108"/>
      <c r="W174" s="108"/>
      <c r="X174" s="108"/>
    </row>
    <row r="175" spans="1:39" x14ac:dyDescent="0.25">
      <c r="B175" s="99"/>
      <c r="C175" s="109"/>
      <c r="D175" s="109"/>
      <c r="E175" s="109"/>
      <c r="F175" s="109"/>
      <c r="G175" s="109"/>
      <c r="H175" s="109"/>
      <c r="I175" s="109"/>
      <c r="J175" s="109"/>
      <c r="K175" s="109"/>
      <c r="L175" s="109"/>
      <c r="M175" s="109"/>
      <c r="N175" s="109"/>
      <c r="O175" s="109"/>
      <c r="P175" s="109"/>
      <c r="Q175" s="109"/>
      <c r="R175" s="109"/>
      <c r="S175" s="109"/>
      <c r="T175" s="109"/>
      <c r="U175" s="109"/>
      <c r="V175" s="109"/>
      <c r="W175" s="109"/>
      <c r="X175" s="109"/>
    </row>
    <row r="176" spans="1:39" x14ac:dyDescent="0.25">
      <c r="B176" s="80"/>
      <c r="C176" s="80"/>
      <c r="D176" s="80"/>
      <c r="E176" s="80"/>
      <c r="F176" s="80"/>
      <c r="G176" s="80"/>
      <c r="H176" s="80"/>
      <c r="I176" s="80"/>
      <c r="J176" s="80"/>
      <c r="K176" s="80"/>
      <c r="L176" s="80"/>
      <c r="M176" s="80"/>
      <c r="N176" s="80"/>
      <c r="O176" s="80"/>
      <c r="P176" s="80"/>
      <c r="Q176" s="80"/>
      <c r="R176" s="80"/>
      <c r="S176" s="80"/>
      <c r="T176" s="80"/>
      <c r="U176" s="80"/>
      <c r="V176" s="80"/>
      <c r="W176" s="80"/>
      <c r="X176" s="80"/>
    </row>
  </sheetData>
  <mergeCells count="57">
    <mergeCell ref="C171:X171"/>
    <mergeCell ref="C172:U172"/>
    <mergeCell ref="A148:A152"/>
    <mergeCell ref="AL148:AL152"/>
    <mergeCell ref="A154:A158"/>
    <mergeCell ref="AL154:AL158"/>
    <mergeCell ref="A160:A164"/>
    <mergeCell ref="AL160:AL164"/>
    <mergeCell ref="A130:A134"/>
    <mergeCell ref="AL130:AL134"/>
    <mergeCell ref="A136:A140"/>
    <mergeCell ref="AL136:AL140"/>
    <mergeCell ref="A142:A146"/>
    <mergeCell ref="AL142:AL146"/>
    <mergeCell ref="A112:A116"/>
    <mergeCell ref="AL112:AL116"/>
    <mergeCell ref="A118:A122"/>
    <mergeCell ref="AL118:AL122"/>
    <mergeCell ref="A124:A128"/>
    <mergeCell ref="AL124:AL128"/>
    <mergeCell ref="A94:A98"/>
    <mergeCell ref="AL94:AL98"/>
    <mergeCell ref="A100:A104"/>
    <mergeCell ref="AL100:AL104"/>
    <mergeCell ref="A106:A110"/>
    <mergeCell ref="AL106:AL110"/>
    <mergeCell ref="A76:A80"/>
    <mergeCell ref="AL76:AL80"/>
    <mergeCell ref="A82:A86"/>
    <mergeCell ref="AL82:AL86"/>
    <mergeCell ref="A88:A92"/>
    <mergeCell ref="AL88:AL92"/>
    <mergeCell ref="A58:A62"/>
    <mergeCell ref="AL58:AL62"/>
    <mergeCell ref="A64:A68"/>
    <mergeCell ref="AL64:AL68"/>
    <mergeCell ref="A70:A74"/>
    <mergeCell ref="AL70:AL74"/>
    <mergeCell ref="A40:A44"/>
    <mergeCell ref="AL40:AL44"/>
    <mergeCell ref="A46:A50"/>
    <mergeCell ref="AL46:AL50"/>
    <mergeCell ref="A52:A56"/>
    <mergeCell ref="AL52:AL56"/>
    <mergeCell ref="A22:A26"/>
    <mergeCell ref="AL22:AL26"/>
    <mergeCell ref="A28:A32"/>
    <mergeCell ref="AL28:AL32"/>
    <mergeCell ref="A34:A38"/>
    <mergeCell ref="AL34:AL38"/>
    <mergeCell ref="A16:A20"/>
    <mergeCell ref="AL16:AL20"/>
    <mergeCell ref="A2:A7"/>
    <mergeCell ref="AL2:AL7"/>
    <mergeCell ref="A9:A13"/>
    <mergeCell ref="AL9:AL13"/>
    <mergeCell ref="C14:X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P71"/>
  <sheetViews>
    <sheetView topLeftCell="B46" workbookViewId="0">
      <selection activeCell="O69" sqref="O69"/>
    </sheetView>
  </sheetViews>
  <sheetFormatPr defaultRowHeight="15" x14ac:dyDescent="0.25"/>
  <cols>
    <col min="1" max="1" width="19.85546875" customWidth="1"/>
    <col min="2" max="2" width="40.140625" customWidth="1"/>
    <col min="3" max="3" width="10.85546875" bestFit="1" customWidth="1"/>
    <col min="4" max="5" width="10.7109375" bestFit="1" customWidth="1"/>
    <col min="6" max="6" width="10.5703125" bestFit="1" customWidth="1"/>
    <col min="7" max="10" width="10.42578125" bestFit="1" customWidth="1"/>
    <col min="11" max="16" width="9.7109375" bestFit="1" customWidth="1"/>
    <col min="17" max="17" width="10.85546875" customWidth="1"/>
    <col min="18" max="18" width="10" customWidth="1"/>
    <col min="19" max="19" width="10.140625" customWidth="1"/>
    <col min="20" max="21" width="11.85546875" customWidth="1"/>
    <col min="22" max="22" width="9.5703125" customWidth="1"/>
    <col min="23" max="23" width="9.85546875" customWidth="1"/>
    <col min="24" max="24" width="9.42578125" customWidth="1"/>
    <col min="25" max="25" width="10.7109375" customWidth="1"/>
    <col min="26" max="37" width="14" customWidth="1"/>
    <col min="38" max="38" width="17.28515625" customWidth="1"/>
    <col min="39" max="39" width="39.42578125" customWidth="1"/>
  </cols>
  <sheetData>
    <row r="1" spans="1:68" x14ac:dyDescent="0.25">
      <c r="B1" s="451"/>
      <c r="C1" s="451"/>
      <c r="D1" s="451"/>
      <c r="E1" s="451"/>
      <c r="F1" s="451"/>
      <c r="G1" s="451"/>
      <c r="H1" s="451"/>
      <c r="I1" s="451"/>
      <c r="J1" s="451"/>
      <c r="K1" s="451"/>
      <c r="L1" s="451"/>
    </row>
    <row r="2" spans="1:68" x14ac:dyDescent="0.25">
      <c r="B2" s="1"/>
      <c r="C2" s="2"/>
      <c r="D2" s="2"/>
      <c r="E2" s="2"/>
      <c r="F2" s="2"/>
      <c r="G2" s="2"/>
      <c r="H2" s="2"/>
      <c r="I2" s="2"/>
      <c r="J2" s="2"/>
      <c r="K2" s="2"/>
      <c r="L2" s="2"/>
    </row>
    <row r="3" spans="1:68" x14ac:dyDescent="0.25">
      <c r="A3" s="2"/>
      <c r="B3" s="3"/>
      <c r="C3" s="4">
        <v>1989</v>
      </c>
      <c r="D3" s="4">
        <v>1990</v>
      </c>
      <c r="E3" s="4">
        <v>1991</v>
      </c>
      <c r="F3" s="4">
        <v>1992</v>
      </c>
      <c r="G3" s="4">
        <v>1993</v>
      </c>
      <c r="H3" s="4">
        <v>1994</v>
      </c>
      <c r="I3" s="4">
        <v>1995</v>
      </c>
      <c r="J3" s="4">
        <v>1996</v>
      </c>
      <c r="K3" s="4">
        <v>1997</v>
      </c>
      <c r="L3" s="4">
        <v>1998</v>
      </c>
      <c r="M3" s="4">
        <v>1999</v>
      </c>
      <c r="N3" s="4">
        <v>2000</v>
      </c>
      <c r="O3" s="4">
        <v>2001</v>
      </c>
      <c r="P3" s="4">
        <v>2002</v>
      </c>
      <c r="Q3" s="4">
        <v>2003</v>
      </c>
      <c r="R3" s="4">
        <v>2004</v>
      </c>
      <c r="S3" s="4">
        <v>2005</v>
      </c>
      <c r="T3" s="4">
        <v>2006</v>
      </c>
      <c r="U3" s="4">
        <v>2007</v>
      </c>
      <c r="V3" s="4">
        <v>2008</v>
      </c>
      <c r="W3" s="4">
        <v>2009</v>
      </c>
      <c r="X3" s="4">
        <v>2010</v>
      </c>
      <c r="Y3" s="4">
        <v>2011</v>
      </c>
      <c r="Z3" s="112">
        <v>2012</v>
      </c>
      <c r="AA3" s="112">
        <v>2013</v>
      </c>
      <c r="AB3" s="112">
        <v>2014</v>
      </c>
      <c r="AC3" s="112">
        <v>2015</v>
      </c>
      <c r="AD3" s="112">
        <v>2016</v>
      </c>
      <c r="AE3" s="112">
        <v>2017</v>
      </c>
      <c r="AF3" s="112">
        <v>2018</v>
      </c>
      <c r="AG3" s="112">
        <v>2019</v>
      </c>
      <c r="AH3" s="112">
        <v>2020</v>
      </c>
      <c r="AI3" s="112">
        <v>2021</v>
      </c>
      <c r="AJ3" s="112">
        <v>2022</v>
      </c>
      <c r="AK3" s="112">
        <v>2023</v>
      </c>
      <c r="AL3" s="2"/>
      <c r="AM3" s="3"/>
    </row>
    <row r="4" spans="1:68" x14ac:dyDescent="0.25">
      <c r="A4" s="452" t="s">
        <v>0</v>
      </c>
      <c r="B4" s="3" t="s">
        <v>1</v>
      </c>
      <c r="C4" s="5">
        <v>6416000</v>
      </c>
      <c r="D4" s="5">
        <v>6290700</v>
      </c>
      <c r="E4" s="5">
        <v>5380700</v>
      </c>
      <c r="F4" s="5">
        <v>4355000</v>
      </c>
      <c r="G4" s="5">
        <v>3683100</v>
      </c>
      <c r="H4" s="5">
        <v>3956780</v>
      </c>
      <c r="I4" s="5">
        <v>3480800</v>
      </c>
      <c r="J4" s="5">
        <v>3496300</v>
      </c>
      <c r="K4" s="5">
        <v>3434900</v>
      </c>
      <c r="L4" s="5">
        <v>3235400</v>
      </c>
      <c r="M4" s="5">
        <v>3143000</v>
      </c>
      <c r="N4" s="5">
        <v>3051000</v>
      </c>
      <c r="O4" s="5">
        <v>2870000</v>
      </c>
      <c r="P4" s="5">
        <v>2800000</v>
      </c>
      <c r="Q4" s="5">
        <v>2878000</v>
      </c>
      <c r="R4" s="5">
        <v>2897000</v>
      </c>
      <c r="S4" s="5">
        <v>2808000</v>
      </c>
      <c r="T4" s="5">
        <v>2862000</v>
      </c>
      <c r="U4" s="5">
        <v>2934000</v>
      </c>
      <c r="V4" s="5">
        <v>2819000</v>
      </c>
      <c r="W4" s="5">
        <v>2684000</v>
      </c>
      <c r="X4" s="5">
        <v>2512300</v>
      </c>
      <c r="Y4" s="6">
        <v>2001110</v>
      </c>
      <c r="Z4" s="117">
        <v>1988939</v>
      </c>
      <c r="AA4" s="6">
        <v>2009135</v>
      </c>
      <c r="AB4" s="32">
        <v>2022408</v>
      </c>
      <c r="AC4" s="32">
        <v>2068888</v>
      </c>
      <c r="AD4" s="32">
        <v>2092414</v>
      </c>
      <c r="AE4" s="32">
        <v>2049700</v>
      </c>
      <c r="AF4" s="32">
        <v>1977200</v>
      </c>
      <c r="AG4" s="32">
        <v>1923300</v>
      </c>
      <c r="AH4" s="32">
        <v>1910900</v>
      </c>
      <c r="AI4" s="32">
        <v>1845300</v>
      </c>
      <c r="AJ4" s="417">
        <v>1833718</v>
      </c>
      <c r="AK4" s="417">
        <v>1814720</v>
      </c>
      <c r="AL4" s="452" t="s">
        <v>0</v>
      </c>
      <c r="AM4" s="3" t="s">
        <v>1</v>
      </c>
    </row>
    <row r="5" spans="1:68" x14ac:dyDescent="0.25">
      <c r="A5" s="452"/>
      <c r="B5" s="3" t="s">
        <v>2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5">
        <v>2870400</v>
      </c>
      <c r="O5" s="5">
        <v>2799800</v>
      </c>
      <c r="P5" s="5">
        <v>2877800</v>
      </c>
      <c r="Q5" s="5">
        <v>2897100</v>
      </c>
      <c r="R5" s="5">
        <v>2808100</v>
      </c>
      <c r="S5" s="5">
        <v>2861100</v>
      </c>
      <c r="T5" s="5">
        <v>2933600</v>
      </c>
      <c r="U5" s="5">
        <v>2819000</v>
      </c>
      <c r="V5" s="5">
        <v>2683600</v>
      </c>
      <c r="W5" s="5">
        <v>2512300</v>
      </c>
      <c r="X5" s="5">
        <v>2001100</v>
      </c>
      <c r="Y5" s="8">
        <v>1988900</v>
      </c>
      <c r="Z5" s="175">
        <v>2009100</v>
      </c>
      <c r="AA5" s="175">
        <v>2022400</v>
      </c>
      <c r="AB5" s="175">
        <v>2068900</v>
      </c>
      <c r="AC5" s="32">
        <f>2092.4*1000</f>
        <v>2092400</v>
      </c>
      <c r="AD5" s="32">
        <f>2049.7*1000</f>
        <v>2049699.9999999998</v>
      </c>
      <c r="AE5" s="32">
        <f>2011.1*1000</f>
        <v>2011100</v>
      </c>
      <c r="AF5" s="32">
        <v>1977200</v>
      </c>
      <c r="AG5" s="32">
        <v>1923300</v>
      </c>
      <c r="AH5" s="32">
        <v>1910900</v>
      </c>
      <c r="AI5" s="32">
        <v>1826800</v>
      </c>
      <c r="AJ5" s="32">
        <v>1833700</v>
      </c>
      <c r="AK5" s="32">
        <v>1814700</v>
      </c>
      <c r="AL5" s="452"/>
      <c r="AM5" s="3" t="s">
        <v>2</v>
      </c>
    </row>
    <row r="6" spans="1:68" ht="18" customHeight="1" x14ac:dyDescent="0.25">
      <c r="A6" s="452"/>
      <c r="B6" s="3" t="s">
        <v>92</v>
      </c>
      <c r="C6" s="5">
        <v>6291000</v>
      </c>
      <c r="D6" s="5">
        <v>5381000</v>
      </c>
      <c r="E6" s="5">
        <v>4355000</v>
      </c>
      <c r="F6" s="5">
        <v>3683000</v>
      </c>
      <c r="G6" s="5">
        <v>3597000</v>
      </c>
      <c r="H6" s="5">
        <v>3481000</v>
      </c>
      <c r="I6" s="5">
        <v>3496000</v>
      </c>
      <c r="J6" s="5">
        <v>3435000</v>
      </c>
      <c r="K6" s="5">
        <v>3235000</v>
      </c>
      <c r="L6" s="5">
        <v>3143000</v>
      </c>
      <c r="M6" s="5">
        <v>3051000</v>
      </c>
      <c r="N6" s="5">
        <v>2870000</v>
      </c>
      <c r="O6" s="5">
        <v>2800000</v>
      </c>
      <c r="P6" s="5">
        <v>2878000</v>
      </c>
      <c r="Q6" s="5">
        <v>2897000</v>
      </c>
      <c r="R6" s="5">
        <v>2808061</v>
      </c>
      <c r="S6" s="5">
        <v>2861671</v>
      </c>
      <c r="T6" s="5">
        <v>2933596</v>
      </c>
      <c r="U6" s="5">
        <v>2818983</v>
      </c>
      <c r="V6" s="5">
        <v>2683578</v>
      </c>
      <c r="W6" s="5">
        <v>2512296</v>
      </c>
      <c r="X6" s="5">
        <v>2001105</v>
      </c>
      <c r="Y6" s="9">
        <v>1988939</v>
      </c>
      <c r="Z6" s="176">
        <v>2009135</v>
      </c>
      <c r="AA6" s="176">
        <v>2022408</v>
      </c>
      <c r="AB6" s="176">
        <v>2068888</v>
      </c>
      <c r="AC6" s="176">
        <v>2092414</v>
      </c>
      <c r="AD6" s="176">
        <v>2081233</v>
      </c>
      <c r="AE6" s="176">
        <v>2011128</v>
      </c>
      <c r="AF6" s="176">
        <v>1977232</v>
      </c>
      <c r="AG6" s="176">
        <v>1923283</v>
      </c>
      <c r="AH6" s="176">
        <v>1875169</v>
      </c>
      <c r="AI6" s="176">
        <v>1826845</v>
      </c>
      <c r="AJ6" s="176">
        <v>1833718</v>
      </c>
      <c r="AK6" s="176">
        <v>1814720</v>
      </c>
      <c r="AL6" s="452"/>
      <c r="AM6" s="3" t="s">
        <v>92</v>
      </c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</row>
    <row r="7" spans="1:68" x14ac:dyDescent="0.25">
      <c r="A7" s="453"/>
      <c r="B7" s="11" t="s">
        <v>93</v>
      </c>
      <c r="C7" s="12">
        <f>C4-C6</f>
        <v>125000</v>
      </c>
      <c r="D7" s="12">
        <f t="shared" ref="D7:Y7" si="0">D4-D6</f>
        <v>909700</v>
      </c>
      <c r="E7" s="12">
        <f t="shared" si="0"/>
        <v>1025700</v>
      </c>
      <c r="F7" s="12">
        <f t="shared" si="0"/>
        <v>672000</v>
      </c>
      <c r="G7" s="12">
        <f t="shared" si="0"/>
        <v>86100</v>
      </c>
      <c r="H7" s="12">
        <f t="shared" si="0"/>
        <v>475780</v>
      </c>
      <c r="I7" s="12">
        <f t="shared" si="0"/>
        <v>-15200</v>
      </c>
      <c r="J7" s="12">
        <f t="shared" si="0"/>
        <v>61300</v>
      </c>
      <c r="K7" s="12">
        <f t="shared" si="0"/>
        <v>199900</v>
      </c>
      <c r="L7" s="12">
        <f t="shared" si="0"/>
        <v>92400</v>
      </c>
      <c r="M7" s="12">
        <f t="shared" si="0"/>
        <v>92000</v>
      </c>
      <c r="N7" s="12">
        <f t="shared" si="0"/>
        <v>181000</v>
      </c>
      <c r="O7" s="12">
        <f t="shared" si="0"/>
        <v>70000</v>
      </c>
      <c r="P7" s="12">
        <f t="shared" si="0"/>
        <v>-78000</v>
      </c>
      <c r="Q7" s="12">
        <f t="shared" si="0"/>
        <v>-19000</v>
      </c>
      <c r="R7" s="12">
        <f t="shared" si="0"/>
        <v>88939</v>
      </c>
      <c r="S7" s="12">
        <f t="shared" si="0"/>
        <v>-53671</v>
      </c>
      <c r="T7" s="12">
        <f t="shared" si="0"/>
        <v>-71596</v>
      </c>
      <c r="U7" s="12">
        <f t="shared" si="0"/>
        <v>115017</v>
      </c>
      <c r="V7" s="12">
        <f t="shared" si="0"/>
        <v>135422</v>
      </c>
      <c r="W7" s="12">
        <f t="shared" si="0"/>
        <v>171704</v>
      </c>
      <c r="X7" s="12">
        <f t="shared" si="0"/>
        <v>511195</v>
      </c>
      <c r="Y7" s="12">
        <f t="shared" si="0"/>
        <v>12171</v>
      </c>
      <c r="Z7" s="177">
        <f t="shared" ref="Z7:AK7" si="1">Z4-Z6</f>
        <v>-20196</v>
      </c>
      <c r="AA7" s="177">
        <f t="shared" si="1"/>
        <v>-13273</v>
      </c>
      <c r="AB7" s="177">
        <f t="shared" si="1"/>
        <v>-46480</v>
      </c>
      <c r="AC7" s="177">
        <f t="shared" si="1"/>
        <v>-23526</v>
      </c>
      <c r="AD7" s="177">
        <f t="shared" si="1"/>
        <v>11181</v>
      </c>
      <c r="AE7" s="177">
        <f t="shared" si="1"/>
        <v>38572</v>
      </c>
      <c r="AF7" s="177">
        <f t="shared" si="1"/>
        <v>-32</v>
      </c>
      <c r="AG7" s="177">
        <f t="shared" si="1"/>
        <v>17</v>
      </c>
      <c r="AH7" s="177">
        <f t="shared" si="1"/>
        <v>35731</v>
      </c>
      <c r="AI7" s="177">
        <f t="shared" si="1"/>
        <v>18455</v>
      </c>
      <c r="AJ7" s="177">
        <f t="shared" si="1"/>
        <v>0</v>
      </c>
      <c r="AK7" s="177">
        <f t="shared" si="1"/>
        <v>0</v>
      </c>
      <c r="AL7" s="453"/>
      <c r="AM7" s="11" t="s">
        <v>93</v>
      </c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</row>
    <row r="8" spans="1:68" x14ac:dyDescent="0.25">
      <c r="A8" s="453"/>
      <c r="B8" s="11" t="s">
        <v>94</v>
      </c>
      <c r="C8" s="12">
        <f t="shared" ref="C8:Y8" si="2">C5-C6</f>
        <v>-6291000</v>
      </c>
      <c r="D8" s="12">
        <f t="shared" si="2"/>
        <v>-5381000</v>
      </c>
      <c r="E8" s="12">
        <f t="shared" si="2"/>
        <v>-4355000</v>
      </c>
      <c r="F8" s="12">
        <f t="shared" si="2"/>
        <v>-3683000</v>
      </c>
      <c r="G8" s="12">
        <f t="shared" si="2"/>
        <v>-3597000</v>
      </c>
      <c r="H8" s="12">
        <f t="shared" si="2"/>
        <v>-3481000</v>
      </c>
      <c r="I8" s="12">
        <f t="shared" si="2"/>
        <v>-3496000</v>
      </c>
      <c r="J8" s="12">
        <f t="shared" si="2"/>
        <v>-3435000</v>
      </c>
      <c r="K8" s="12">
        <f t="shared" si="2"/>
        <v>-3235000</v>
      </c>
      <c r="L8" s="12">
        <f t="shared" si="2"/>
        <v>-3143000</v>
      </c>
      <c r="M8" s="12">
        <f t="shared" si="2"/>
        <v>-3051000</v>
      </c>
      <c r="N8" s="12">
        <f t="shared" si="2"/>
        <v>400</v>
      </c>
      <c r="O8" s="12">
        <f t="shared" si="2"/>
        <v>-200</v>
      </c>
      <c r="P8" s="12">
        <f t="shared" si="2"/>
        <v>-200</v>
      </c>
      <c r="Q8" s="12">
        <f t="shared" si="2"/>
        <v>100</v>
      </c>
      <c r="R8" s="12">
        <f t="shared" si="2"/>
        <v>39</v>
      </c>
      <c r="S8" s="12">
        <f t="shared" si="2"/>
        <v>-571</v>
      </c>
      <c r="T8" s="12">
        <f t="shared" si="2"/>
        <v>4</v>
      </c>
      <c r="U8" s="12">
        <f t="shared" si="2"/>
        <v>17</v>
      </c>
      <c r="V8" s="12">
        <f t="shared" si="2"/>
        <v>22</v>
      </c>
      <c r="W8" s="12">
        <f t="shared" si="2"/>
        <v>4</v>
      </c>
      <c r="X8" s="12">
        <f t="shared" si="2"/>
        <v>-5</v>
      </c>
      <c r="Y8" s="12">
        <f t="shared" si="2"/>
        <v>-39</v>
      </c>
      <c r="Z8" s="124">
        <f t="shared" ref="Z8:AK8" si="3">Z5-Z6</f>
        <v>-35</v>
      </c>
      <c r="AA8" s="124">
        <f t="shared" si="3"/>
        <v>-8</v>
      </c>
      <c r="AB8" s="124">
        <f t="shared" si="3"/>
        <v>12</v>
      </c>
      <c r="AC8" s="124">
        <f t="shared" si="3"/>
        <v>-14</v>
      </c>
      <c r="AD8" s="124">
        <f t="shared" si="3"/>
        <v>-31533.000000000233</v>
      </c>
      <c r="AE8" s="124">
        <f t="shared" si="3"/>
        <v>-28</v>
      </c>
      <c r="AF8" s="124">
        <f t="shared" si="3"/>
        <v>-32</v>
      </c>
      <c r="AG8" s="124">
        <f t="shared" si="3"/>
        <v>17</v>
      </c>
      <c r="AH8" s="124">
        <f t="shared" si="3"/>
        <v>35731</v>
      </c>
      <c r="AI8" s="124">
        <f t="shared" si="3"/>
        <v>-45</v>
      </c>
      <c r="AJ8" s="124">
        <f t="shared" si="3"/>
        <v>-18</v>
      </c>
      <c r="AK8" s="124">
        <f t="shared" si="3"/>
        <v>-20</v>
      </c>
      <c r="AL8" s="453"/>
      <c r="AM8" s="11" t="s">
        <v>94</v>
      </c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</row>
    <row r="9" spans="1:68" x14ac:dyDescent="0.25">
      <c r="A9" s="2"/>
      <c r="B9" s="13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>
        <f>(AJ6*100)/AJ5-100</f>
        <v>9.8162185744854469E-4</v>
      </c>
      <c r="AK9" s="68">
        <f>(AK6*100)/AK5-100</f>
        <v>1.102110541694401E-3</v>
      </c>
      <c r="AL9" s="2"/>
      <c r="AM9" s="13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</row>
    <row r="10" spans="1:68" x14ac:dyDescent="0.25">
      <c r="A10" s="454" t="s">
        <v>3</v>
      </c>
      <c r="B10" s="3" t="s">
        <v>1</v>
      </c>
      <c r="C10" s="5">
        <v>14351000</v>
      </c>
      <c r="D10" s="5">
        <v>11671000</v>
      </c>
      <c r="E10" s="5">
        <v>12003300</v>
      </c>
      <c r="F10" s="5">
        <v>10954100</v>
      </c>
      <c r="G10" s="5">
        <v>9852310</v>
      </c>
      <c r="H10" s="5">
        <v>9262000</v>
      </c>
      <c r="I10" s="5">
        <v>7758000</v>
      </c>
      <c r="J10" s="5">
        <v>7959500</v>
      </c>
      <c r="K10" s="5">
        <v>8234500</v>
      </c>
      <c r="L10" s="5">
        <v>7097000</v>
      </c>
      <c r="M10" s="5">
        <v>7194000</v>
      </c>
      <c r="N10" s="5">
        <v>5848000</v>
      </c>
      <c r="O10" s="5">
        <v>4797000</v>
      </c>
      <c r="P10" s="5">
        <v>4447000</v>
      </c>
      <c r="Q10" s="5">
        <v>5058000</v>
      </c>
      <c r="R10" s="5">
        <v>5145000</v>
      </c>
      <c r="S10" s="5">
        <v>6495000</v>
      </c>
      <c r="T10" s="5">
        <v>6622000</v>
      </c>
      <c r="U10" s="5">
        <v>6815000</v>
      </c>
      <c r="V10" s="5">
        <v>6565000</v>
      </c>
      <c r="W10" s="5">
        <v>6174000</v>
      </c>
      <c r="X10" s="5">
        <v>5793400</v>
      </c>
      <c r="Y10" s="15">
        <v>5428270</v>
      </c>
      <c r="Z10" s="183">
        <v>5363797</v>
      </c>
      <c r="AA10" s="182">
        <v>5234313</v>
      </c>
      <c r="AB10" s="184">
        <v>5180173</v>
      </c>
      <c r="AC10" s="184">
        <v>5041788</v>
      </c>
      <c r="AD10" s="184">
        <v>4926928</v>
      </c>
      <c r="AE10" s="184">
        <v>4707700</v>
      </c>
      <c r="AF10" s="184">
        <v>3925300</v>
      </c>
      <c r="AG10" s="184">
        <v>3834100</v>
      </c>
      <c r="AH10" s="184">
        <v>375040</v>
      </c>
      <c r="AI10" s="184">
        <v>3619600</v>
      </c>
      <c r="AJ10" s="417">
        <v>3328734</v>
      </c>
      <c r="AK10" s="417">
        <v>3154053</v>
      </c>
      <c r="AL10" s="454" t="s">
        <v>3</v>
      </c>
      <c r="AM10" s="3" t="s">
        <v>1</v>
      </c>
      <c r="AN10" s="16"/>
      <c r="AO10" s="17"/>
      <c r="AP10" s="16"/>
      <c r="AQ10" s="17"/>
      <c r="AR10" s="16"/>
      <c r="AS10" s="17"/>
      <c r="AT10" s="16"/>
      <c r="AU10" s="17"/>
      <c r="AV10" s="16"/>
      <c r="AW10" s="17"/>
      <c r="AX10" s="16"/>
      <c r="AY10" s="17"/>
      <c r="AZ10" s="16"/>
      <c r="BA10" s="17"/>
      <c r="BB10" s="16"/>
      <c r="BC10" s="17"/>
      <c r="BD10" s="16"/>
      <c r="BE10" s="17"/>
      <c r="BF10" s="17"/>
    </row>
    <row r="11" spans="1:68" x14ac:dyDescent="0.25">
      <c r="A11" s="454"/>
      <c r="B11" s="3" t="s">
        <v>2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4">
        <v>4797000</v>
      </c>
      <c r="O11" s="14">
        <v>4446800</v>
      </c>
      <c r="P11" s="14">
        <v>5058000</v>
      </c>
      <c r="Q11" s="14">
        <v>5145000</v>
      </c>
      <c r="R11" s="14">
        <v>6494700</v>
      </c>
      <c r="S11" s="14">
        <v>6603800</v>
      </c>
      <c r="T11" s="117">
        <v>6814610</v>
      </c>
      <c r="U11" s="14">
        <v>6564900</v>
      </c>
      <c r="V11" s="14">
        <v>6173700</v>
      </c>
      <c r="W11" s="14">
        <v>5793400</v>
      </c>
      <c r="X11" s="14">
        <v>5428300</v>
      </c>
      <c r="Y11" s="8">
        <v>5363800</v>
      </c>
      <c r="Z11" s="117">
        <v>5234300</v>
      </c>
      <c r="AA11" s="117">
        <v>5180200</v>
      </c>
      <c r="AB11" s="32">
        <f>5041.7*1000</f>
        <v>5041700</v>
      </c>
      <c r="AC11" s="32">
        <f>4926.9*1000</f>
        <v>4926900</v>
      </c>
      <c r="AD11" s="32">
        <f>4707.7*1000</f>
        <v>4707700</v>
      </c>
      <c r="AE11" s="32">
        <f>4406*1000</f>
        <v>4406000</v>
      </c>
      <c r="AF11" s="32">
        <v>3925300</v>
      </c>
      <c r="AG11" s="32">
        <v>3834100</v>
      </c>
      <c r="AH11" s="32">
        <v>375040</v>
      </c>
      <c r="AI11" s="32">
        <v>3619600</v>
      </c>
      <c r="AJ11" s="32">
        <v>3328700</v>
      </c>
      <c r="AK11" s="174"/>
      <c r="AL11" s="454"/>
      <c r="AM11" s="3" t="s">
        <v>2</v>
      </c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</row>
    <row r="12" spans="1:68" x14ac:dyDescent="0.25">
      <c r="A12" s="454"/>
      <c r="B12" s="3" t="s">
        <v>92</v>
      </c>
      <c r="C12" s="19">
        <v>11671000</v>
      </c>
      <c r="D12" s="5">
        <v>12003000</v>
      </c>
      <c r="E12" s="19">
        <v>10954000</v>
      </c>
      <c r="F12" s="5">
        <v>9852000</v>
      </c>
      <c r="G12" s="19">
        <v>9262000</v>
      </c>
      <c r="H12" s="5">
        <v>7758000</v>
      </c>
      <c r="I12" s="19">
        <v>7960000</v>
      </c>
      <c r="J12" s="5">
        <v>8235000</v>
      </c>
      <c r="K12" s="19">
        <v>7097000</v>
      </c>
      <c r="L12" s="5">
        <v>7194000</v>
      </c>
      <c r="M12" s="19">
        <v>5848000</v>
      </c>
      <c r="N12" s="5">
        <v>4797000</v>
      </c>
      <c r="O12" s="19">
        <v>4447000</v>
      </c>
      <c r="P12" s="5">
        <v>5058000</v>
      </c>
      <c r="Q12" s="19">
        <v>5145000</v>
      </c>
      <c r="R12" s="5">
        <v>6794666</v>
      </c>
      <c r="S12" s="19">
        <v>6622302</v>
      </c>
      <c r="T12" s="5">
        <v>6814605</v>
      </c>
      <c r="U12" s="19">
        <v>6564907</v>
      </c>
      <c r="V12" s="5">
        <v>6173614</v>
      </c>
      <c r="W12" s="19">
        <v>5793415</v>
      </c>
      <c r="X12" s="5">
        <v>5428272</v>
      </c>
      <c r="Y12" s="19">
        <v>5363797</v>
      </c>
      <c r="Z12" s="32">
        <v>5234313</v>
      </c>
      <c r="AA12" s="32">
        <v>5180173</v>
      </c>
      <c r="AB12" s="32">
        <v>5041788</v>
      </c>
      <c r="AC12" s="32">
        <v>4926928</v>
      </c>
      <c r="AD12" s="32">
        <v>4707719</v>
      </c>
      <c r="AE12" s="32">
        <v>4406014</v>
      </c>
      <c r="AF12" s="32">
        <v>3925283</v>
      </c>
      <c r="AG12" s="32">
        <v>3834136</v>
      </c>
      <c r="AH12" s="32">
        <v>378451</v>
      </c>
      <c r="AI12" s="32">
        <v>3619581</v>
      </c>
      <c r="AJ12" s="32">
        <v>3328734</v>
      </c>
      <c r="AK12" s="32">
        <v>3154053</v>
      </c>
      <c r="AL12" s="454"/>
      <c r="AM12" s="3" t="s">
        <v>92</v>
      </c>
      <c r="AN12" s="20"/>
      <c r="AO12" s="16"/>
      <c r="AP12" s="20"/>
      <c r="AQ12" s="16"/>
      <c r="AR12" s="20"/>
      <c r="AS12" s="16"/>
      <c r="AT12" s="20"/>
      <c r="AU12" s="16"/>
      <c r="AV12" s="20"/>
      <c r="AW12" s="16"/>
      <c r="AX12" s="20"/>
      <c r="AY12" s="16"/>
      <c r="AZ12" s="20"/>
      <c r="BA12" s="16"/>
      <c r="BB12" s="20"/>
      <c r="BC12" s="16"/>
      <c r="BD12" s="20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</row>
    <row r="13" spans="1:68" x14ac:dyDescent="0.25">
      <c r="A13" s="455"/>
      <c r="B13" s="11" t="s">
        <v>93</v>
      </c>
      <c r="C13" s="12">
        <f>C10-C12</f>
        <v>2680000</v>
      </c>
      <c r="D13" s="12">
        <f t="shared" ref="D13:Y13" si="4">D10-D12</f>
        <v>-332000</v>
      </c>
      <c r="E13" s="12">
        <f t="shared" si="4"/>
        <v>1049300</v>
      </c>
      <c r="F13" s="12">
        <f t="shared" si="4"/>
        <v>1102100</v>
      </c>
      <c r="G13" s="12">
        <f t="shared" si="4"/>
        <v>590310</v>
      </c>
      <c r="H13" s="12">
        <f t="shared" si="4"/>
        <v>1504000</v>
      </c>
      <c r="I13" s="12">
        <f t="shared" si="4"/>
        <v>-202000</v>
      </c>
      <c r="J13" s="12">
        <f t="shared" si="4"/>
        <v>-275500</v>
      </c>
      <c r="K13" s="12">
        <f t="shared" si="4"/>
        <v>1137500</v>
      </c>
      <c r="L13" s="12">
        <f t="shared" si="4"/>
        <v>-97000</v>
      </c>
      <c r="M13" s="12">
        <f t="shared" si="4"/>
        <v>1346000</v>
      </c>
      <c r="N13" s="12">
        <f t="shared" si="4"/>
        <v>1051000</v>
      </c>
      <c r="O13" s="12">
        <f t="shared" si="4"/>
        <v>350000</v>
      </c>
      <c r="P13" s="12">
        <f t="shared" si="4"/>
        <v>-611000</v>
      </c>
      <c r="Q13" s="12">
        <f t="shared" si="4"/>
        <v>-87000</v>
      </c>
      <c r="R13" s="12">
        <f t="shared" si="4"/>
        <v>-1649666</v>
      </c>
      <c r="S13" s="12">
        <f t="shared" si="4"/>
        <v>-127302</v>
      </c>
      <c r="T13" s="12">
        <f t="shared" si="4"/>
        <v>-192605</v>
      </c>
      <c r="U13" s="12">
        <f t="shared" si="4"/>
        <v>250093</v>
      </c>
      <c r="V13" s="12">
        <f t="shared" si="4"/>
        <v>391386</v>
      </c>
      <c r="W13" s="12">
        <f t="shared" si="4"/>
        <v>380585</v>
      </c>
      <c r="X13" s="12">
        <f t="shared" si="4"/>
        <v>365128</v>
      </c>
      <c r="Y13" s="12">
        <f t="shared" si="4"/>
        <v>64473</v>
      </c>
      <c r="Z13" s="178">
        <f t="shared" ref="Z13:AK13" si="5">Z10-Z12</f>
        <v>129484</v>
      </c>
      <c r="AA13" s="178">
        <f t="shared" si="5"/>
        <v>54140</v>
      </c>
      <c r="AB13" s="178">
        <f t="shared" si="5"/>
        <v>138385</v>
      </c>
      <c r="AC13" s="178">
        <f t="shared" si="5"/>
        <v>114860</v>
      </c>
      <c r="AD13" s="178">
        <f t="shared" si="5"/>
        <v>219209</v>
      </c>
      <c r="AE13" s="178">
        <f t="shared" si="5"/>
        <v>301686</v>
      </c>
      <c r="AF13" s="178">
        <f t="shared" si="5"/>
        <v>17</v>
      </c>
      <c r="AG13" s="178">
        <f t="shared" si="5"/>
        <v>-36</v>
      </c>
      <c r="AH13" s="178">
        <f t="shared" si="5"/>
        <v>-3411</v>
      </c>
      <c r="AI13" s="178">
        <f t="shared" si="5"/>
        <v>19</v>
      </c>
      <c r="AJ13" s="178">
        <f t="shared" si="5"/>
        <v>0</v>
      </c>
      <c r="AK13" s="178">
        <f t="shared" si="5"/>
        <v>0</v>
      </c>
      <c r="AL13" s="455"/>
      <c r="AM13" s="11" t="s">
        <v>93</v>
      </c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</row>
    <row r="14" spans="1:68" x14ac:dyDescent="0.25">
      <c r="A14" s="456"/>
      <c r="B14" s="11" t="s">
        <v>94</v>
      </c>
      <c r="C14" s="12">
        <f>C11-C12</f>
        <v>-11671000</v>
      </c>
      <c r="D14" s="12">
        <f t="shared" ref="D14:Y14" si="6">D11-D12</f>
        <v>-12003000</v>
      </c>
      <c r="E14" s="12">
        <f t="shared" si="6"/>
        <v>-10954000</v>
      </c>
      <c r="F14" s="12">
        <f t="shared" si="6"/>
        <v>-9852000</v>
      </c>
      <c r="G14" s="12">
        <f t="shared" si="6"/>
        <v>-9262000</v>
      </c>
      <c r="H14" s="12">
        <f t="shared" si="6"/>
        <v>-7758000</v>
      </c>
      <c r="I14" s="12">
        <f t="shared" si="6"/>
        <v>-7960000</v>
      </c>
      <c r="J14" s="12">
        <f t="shared" si="6"/>
        <v>-8235000</v>
      </c>
      <c r="K14" s="12">
        <f t="shared" si="6"/>
        <v>-7097000</v>
      </c>
      <c r="L14" s="12">
        <f t="shared" si="6"/>
        <v>-7194000</v>
      </c>
      <c r="M14" s="12">
        <f t="shared" si="6"/>
        <v>-5848000</v>
      </c>
      <c r="N14" s="12">
        <f t="shared" si="6"/>
        <v>0</v>
      </c>
      <c r="O14" s="12">
        <f t="shared" si="6"/>
        <v>-200</v>
      </c>
      <c r="P14" s="12">
        <f t="shared" si="6"/>
        <v>0</v>
      </c>
      <c r="Q14" s="12">
        <f t="shared" si="6"/>
        <v>0</v>
      </c>
      <c r="R14" s="12">
        <f t="shared" si="6"/>
        <v>-299966</v>
      </c>
      <c r="S14" s="12">
        <f t="shared" si="6"/>
        <v>-18502</v>
      </c>
      <c r="T14" s="12">
        <f t="shared" si="6"/>
        <v>5</v>
      </c>
      <c r="U14" s="12">
        <f t="shared" si="6"/>
        <v>-7</v>
      </c>
      <c r="V14" s="12">
        <f t="shared" si="6"/>
        <v>86</v>
      </c>
      <c r="W14" s="12">
        <f t="shared" si="6"/>
        <v>-15</v>
      </c>
      <c r="X14" s="12">
        <f t="shared" si="6"/>
        <v>28</v>
      </c>
      <c r="Y14" s="12">
        <f t="shared" si="6"/>
        <v>3</v>
      </c>
      <c r="Z14" s="12">
        <f t="shared" ref="Z14:AK14" si="7">Z11-Z12</f>
        <v>-13</v>
      </c>
      <c r="AA14" s="12">
        <f t="shared" si="7"/>
        <v>27</v>
      </c>
      <c r="AB14" s="12">
        <f t="shared" si="7"/>
        <v>-88</v>
      </c>
      <c r="AC14" s="12">
        <f t="shared" si="7"/>
        <v>-28</v>
      </c>
      <c r="AD14" s="12">
        <f t="shared" si="7"/>
        <v>-19</v>
      </c>
      <c r="AE14" s="12">
        <f t="shared" si="7"/>
        <v>-14</v>
      </c>
      <c r="AF14" s="12">
        <f t="shared" si="7"/>
        <v>17</v>
      </c>
      <c r="AG14" s="12">
        <f t="shared" si="7"/>
        <v>-36</v>
      </c>
      <c r="AH14" s="12">
        <f t="shared" si="7"/>
        <v>-3411</v>
      </c>
      <c r="AI14" s="12">
        <f t="shared" si="7"/>
        <v>19</v>
      </c>
      <c r="AJ14" s="12">
        <f t="shared" si="7"/>
        <v>-34</v>
      </c>
      <c r="AK14" s="12">
        <f t="shared" si="7"/>
        <v>-3154053</v>
      </c>
      <c r="AL14" s="456"/>
      <c r="AM14" s="11" t="s">
        <v>94</v>
      </c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</row>
    <row r="15" spans="1:68" x14ac:dyDescent="0.25">
      <c r="A15" s="22"/>
      <c r="B15" s="13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67"/>
      <c r="O15" s="67"/>
      <c r="P15" s="67"/>
      <c r="Q15" s="67"/>
      <c r="R15" s="67">
        <f t="shared" ref="R15" si="8">(R12*100)/R11-100</f>
        <v>4.6186274962661855</v>
      </c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>
        <f>(AJ12*100)/AJ11-100</f>
        <v>1.0214197734796926E-3</v>
      </c>
      <c r="AK15" s="67" t="e">
        <f>(AK12*100)/AK11-100</f>
        <v>#DIV/0!</v>
      </c>
      <c r="AL15" s="22"/>
      <c r="AM15" s="13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</row>
    <row r="16" spans="1:68" x14ac:dyDescent="0.25">
      <c r="A16" s="449" t="s">
        <v>4</v>
      </c>
      <c r="B16" s="13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449" t="s">
        <v>4</v>
      </c>
      <c r="AM16" s="13"/>
    </row>
    <row r="17" spans="1:66" ht="15.75" thickBot="1" x14ac:dyDescent="0.3">
      <c r="A17" s="449"/>
      <c r="B17" s="3" t="s">
        <v>1</v>
      </c>
      <c r="C17" s="5">
        <v>16210000</v>
      </c>
      <c r="D17" s="5">
        <v>15434800</v>
      </c>
      <c r="E17" s="5">
        <v>14061900</v>
      </c>
      <c r="F17" s="5">
        <v>13879400</v>
      </c>
      <c r="G17" s="5">
        <v>12079400</v>
      </c>
      <c r="H17" s="5">
        <v>11499200</v>
      </c>
      <c r="I17" s="5">
        <v>10896600</v>
      </c>
      <c r="J17" s="5">
        <v>10380900</v>
      </c>
      <c r="K17" s="5">
        <v>9662600</v>
      </c>
      <c r="L17" s="5">
        <v>8937600</v>
      </c>
      <c r="M17" s="5">
        <v>8409000</v>
      </c>
      <c r="N17" s="5">
        <v>8121000</v>
      </c>
      <c r="O17" s="5">
        <v>7657000</v>
      </c>
      <c r="P17" s="5">
        <v>7251200</v>
      </c>
      <c r="Q17" s="5">
        <v>7312000</v>
      </c>
      <c r="R17" s="5">
        <v>7447000</v>
      </c>
      <c r="S17" s="5">
        <v>7425000</v>
      </c>
      <c r="T17" s="5">
        <v>7611000</v>
      </c>
      <c r="U17" s="5">
        <v>7678000</v>
      </c>
      <c r="V17" s="5">
        <v>8469000</v>
      </c>
      <c r="W17" s="5">
        <v>8882000</v>
      </c>
      <c r="X17" s="5">
        <v>9141500</v>
      </c>
      <c r="Y17" s="6">
        <v>8417440</v>
      </c>
      <c r="Z17" s="117">
        <v>8533434</v>
      </c>
      <c r="AA17" s="32">
        <v>8833830</v>
      </c>
      <c r="AB17" s="32">
        <v>9135678</v>
      </c>
      <c r="AC17" s="32">
        <v>9518225</v>
      </c>
      <c r="AD17" s="32">
        <v>9809512</v>
      </c>
      <c r="AE17" s="32">
        <v>9875500</v>
      </c>
      <c r="AF17" s="32">
        <v>10176400</v>
      </c>
      <c r="AG17" s="32">
        <v>10358700</v>
      </c>
      <c r="AH17" s="193">
        <v>10464400</v>
      </c>
      <c r="AI17" s="193">
        <v>10281500</v>
      </c>
      <c r="AJ17" s="418">
        <v>10247383</v>
      </c>
      <c r="AK17" s="417">
        <v>10299549</v>
      </c>
      <c r="AL17" s="449"/>
      <c r="AM17" s="3" t="s">
        <v>1</v>
      </c>
      <c r="AN17" s="165"/>
    </row>
    <row r="18" spans="1:66" x14ac:dyDescent="0.25">
      <c r="A18" s="449"/>
      <c r="B18" s="3" t="s">
        <v>2</v>
      </c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8">
        <v>7657000</v>
      </c>
      <c r="O18" s="8">
        <v>7251000</v>
      </c>
      <c r="P18" s="8">
        <v>7312000</v>
      </c>
      <c r="Q18" s="8">
        <v>7447000</v>
      </c>
      <c r="R18" s="8">
        <v>7425300</v>
      </c>
      <c r="S18" s="8">
        <v>7608400</v>
      </c>
      <c r="T18" s="116">
        <v>7678210</v>
      </c>
      <c r="U18" s="8">
        <v>8469200</v>
      </c>
      <c r="V18" s="8">
        <v>8881600</v>
      </c>
      <c r="W18" s="8">
        <v>9141500</v>
      </c>
      <c r="X18" s="8">
        <v>8417400</v>
      </c>
      <c r="Y18" s="8">
        <v>8533400</v>
      </c>
      <c r="Z18" s="117">
        <v>8833800</v>
      </c>
      <c r="AA18" s="117">
        <v>9135600</v>
      </c>
      <c r="AB18" s="117">
        <v>9518200</v>
      </c>
      <c r="AC18" s="32">
        <f>9809.5*1000</f>
        <v>9809500</v>
      </c>
      <c r="AD18" s="32">
        <f>9875.5*1000</f>
        <v>9875500</v>
      </c>
      <c r="AE18" s="32">
        <f>9981.8*1000</f>
        <v>9981800</v>
      </c>
      <c r="AF18" s="32">
        <v>10176400</v>
      </c>
      <c r="AG18" s="32">
        <v>10358700</v>
      </c>
      <c r="AH18" s="193">
        <v>10281473</v>
      </c>
      <c r="AI18" s="193">
        <v>10087400</v>
      </c>
      <c r="AJ18" s="193">
        <v>10247400</v>
      </c>
      <c r="AK18" s="194"/>
      <c r="AL18" s="449"/>
      <c r="AM18" s="3" t="s">
        <v>2</v>
      </c>
    </row>
    <row r="19" spans="1:66" x14ac:dyDescent="0.25">
      <c r="A19" s="449"/>
      <c r="B19" s="24" t="s">
        <v>92</v>
      </c>
      <c r="C19" s="8">
        <v>15435000</v>
      </c>
      <c r="D19" s="8">
        <v>14062000</v>
      </c>
      <c r="E19" s="8">
        <v>13879000</v>
      </c>
      <c r="F19" s="8">
        <v>12079000</v>
      </c>
      <c r="G19" s="8">
        <v>11499000</v>
      </c>
      <c r="H19" s="8">
        <v>10897000</v>
      </c>
      <c r="I19" s="8">
        <v>10381000</v>
      </c>
      <c r="J19" s="8">
        <v>9663000</v>
      </c>
      <c r="K19" s="8">
        <v>8937000</v>
      </c>
      <c r="L19" s="8">
        <v>8409000</v>
      </c>
      <c r="M19" s="8">
        <v>8121000</v>
      </c>
      <c r="N19" s="8">
        <v>7657000</v>
      </c>
      <c r="O19" s="8">
        <v>7251000</v>
      </c>
      <c r="P19" s="8">
        <v>7312000</v>
      </c>
      <c r="Q19" s="8">
        <v>7447000</v>
      </c>
      <c r="R19" s="8">
        <v>7425327</v>
      </c>
      <c r="S19" s="8">
        <v>7610958</v>
      </c>
      <c r="T19" s="8">
        <v>7678207</v>
      </c>
      <c r="U19" s="8">
        <v>8469195</v>
      </c>
      <c r="V19" s="8">
        <v>8881582</v>
      </c>
      <c r="W19" s="8">
        <v>9141482</v>
      </c>
      <c r="X19" s="8">
        <v>8417437</v>
      </c>
      <c r="Y19" s="8">
        <v>8533434</v>
      </c>
      <c r="Z19" s="117">
        <v>8833830</v>
      </c>
      <c r="AA19" s="117">
        <v>9135678</v>
      </c>
      <c r="AB19" s="117">
        <v>9518225</v>
      </c>
      <c r="AC19" s="117">
        <v>9809512</v>
      </c>
      <c r="AD19" s="117">
        <v>9875483</v>
      </c>
      <c r="AE19" s="117">
        <v>9981859</v>
      </c>
      <c r="AF19" s="117">
        <v>10176400</v>
      </c>
      <c r="AG19" s="117">
        <v>10358699</v>
      </c>
      <c r="AH19" s="397">
        <v>10281473</v>
      </c>
      <c r="AI19" s="397">
        <v>10087439</v>
      </c>
      <c r="AJ19" s="397">
        <v>10247383</v>
      </c>
      <c r="AK19" s="397">
        <v>10299549</v>
      </c>
      <c r="AL19" s="449"/>
      <c r="AM19" s="3" t="s">
        <v>92</v>
      </c>
    </row>
    <row r="20" spans="1:66" x14ac:dyDescent="0.25">
      <c r="A20" s="449"/>
      <c r="B20" s="11" t="s">
        <v>93</v>
      </c>
      <c r="C20" s="25">
        <f>C17-C19</f>
        <v>775000</v>
      </c>
      <c r="D20" s="25">
        <f t="shared" ref="D20:Y20" si="9">D17-D19</f>
        <v>1372800</v>
      </c>
      <c r="E20" s="25">
        <f t="shared" si="9"/>
        <v>182900</v>
      </c>
      <c r="F20" s="25">
        <f t="shared" si="9"/>
        <v>1800400</v>
      </c>
      <c r="G20" s="25">
        <f t="shared" si="9"/>
        <v>580400</v>
      </c>
      <c r="H20" s="25">
        <f t="shared" si="9"/>
        <v>602200</v>
      </c>
      <c r="I20" s="25">
        <f t="shared" si="9"/>
        <v>515600</v>
      </c>
      <c r="J20" s="25">
        <f t="shared" si="9"/>
        <v>717900</v>
      </c>
      <c r="K20" s="25">
        <f t="shared" si="9"/>
        <v>725600</v>
      </c>
      <c r="L20" s="25">
        <f t="shared" si="9"/>
        <v>528600</v>
      </c>
      <c r="M20" s="25">
        <f t="shared" si="9"/>
        <v>288000</v>
      </c>
      <c r="N20" s="25">
        <f t="shared" si="9"/>
        <v>464000</v>
      </c>
      <c r="O20" s="25">
        <f t="shared" si="9"/>
        <v>406000</v>
      </c>
      <c r="P20" s="25">
        <f t="shared" si="9"/>
        <v>-60800</v>
      </c>
      <c r="Q20" s="25">
        <f t="shared" si="9"/>
        <v>-135000</v>
      </c>
      <c r="R20" s="25">
        <f t="shared" si="9"/>
        <v>21673</v>
      </c>
      <c r="S20" s="25">
        <f t="shared" si="9"/>
        <v>-185958</v>
      </c>
      <c r="T20" s="25">
        <f t="shared" si="9"/>
        <v>-67207</v>
      </c>
      <c r="U20" s="25">
        <f t="shared" si="9"/>
        <v>-791195</v>
      </c>
      <c r="V20" s="25">
        <f t="shared" si="9"/>
        <v>-412582</v>
      </c>
      <c r="W20" s="25">
        <f t="shared" si="9"/>
        <v>-259482</v>
      </c>
      <c r="X20" s="25">
        <f t="shared" si="9"/>
        <v>724063</v>
      </c>
      <c r="Y20" s="25">
        <f t="shared" si="9"/>
        <v>-115994</v>
      </c>
      <c r="Z20" s="178">
        <f t="shared" ref="Z20:AK20" si="10">Z17-Z19</f>
        <v>-300396</v>
      </c>
      <c r="AA20" s="178">
        <f t="shared" si="10"/>
        <v>-301848</v>
      </c>
      <c r="AB20" s="178">
        <f t="shared" si="10"/>
        <v>-382547</v>
      </c>
      <c r="AC20" s="178">
        <f t="shared" si="10"/>
        <v>-291287</v>
      </c>
      <c r="AD20" s="178">
        <f t="shared" si="10"/>
        <v>-65971</v>
      </c>
      <c r="AE20" s="178">
        <f t="shared" si="10"/>
        <v>-106359</v>
      </c>
      <c r="AF20" s="178">
        <f t="shared" si="10"/>
        <v>0</v>
      </c>
      <c r="AG20" s="178">
        <f t="shared" si="10"/>
        <v>1</v>
      </c>
      <c r="AH20" s="178">
        <f t="shared" si="10"/>
        <v>182927</v>
      </c>
      <c r="AI20" s="178">
        <f t="shared" si="10"/>
        <v>194061</v>
      </c>
      <c r="AJ20" s="178">
        <f t="shared" si="10"/>
        <v>0</v>
      </c>
      <c r="AK20" s="178">
        <f t="shared" si="10"/>
        <v>0</v>
      </c>
      <c r="AL20" s="449"/>
      <c r="AM20" s="11" t="s">
        <v>93</v>
      </c>
    </row>
    <row r="21" spans="1:66" x14ac:dyDescent="0.25">
      <c r="A21" s="450"/>
      <c r="B21" s="11" t="s">
        <v>94</v>
      </c>
      <c r="C21" s="25">
        <f>C18-C19</f>
        <v>-15435000</v>
      </c>
      <c r="D21" s="25">
        <f t="shared" ref="D21:Y21" si="11">D18-D19</f>
        <v>-14062000</v>
      </c>
      <c r="E21" s="25">
        <f t="shared" si="11"/>
        <v>-13879000</v>
      </c>
      <c r="F21" s="25">
        <f t="shared" si="11"/>
        <v>-12079000</v>
      </c>
      <c r="G21" s="25">
        <f t="shared" si="11"/>
        <v>-11499000</v>
      </c>
      <c r="H21" s="25">
        <f t="shared" si="11"/>
        <v>-10897000</v>
      </c>
      <c r="I21" s="25">
        <f t="shared" si="11"/>
        <v>-10381000</v>
      </c>
      <c r="J21" s="25">
        <f t="shared" si="11"/>
        <v>-9663000</v>
      </c>
      <c r="K21" s="25">
        <f t="shared" si="11"/>
        <v>-8937000</v>
      </c>
      <c r="L21" s="25">
        <f t="shared" si="11"/>
        <v>-8409000</v>
      </c>
      <c r="M21" s="25">
        <f t="shared" si="11"/>
        <v>-8121000</v>
      </c>
      <c r="N21" s="25">
        <f t="shared" si="11"/>
        <v>0</v>
      </c>
      <c r="O21" s="25">
        <f t="shared" si="11"/>
        <v>0</v>
      </c>
      <c r="P21" s="25">
        <f t="shared" si="11"/>
        <v>0</v>
      </c>
      <c r="Q21" s="25">
        <f t="shared" si="11"/>
        <v>0</v>
      </c>
      <c r="R21" s="25">
        <f t="shared" si="11"/>
        <v>-27</v>
      </c>
      <c r="S21" s="25">
        <f t="shared" si="11"/>
        <v>-2558</v>
      </c>
      <c r="T21" s="25">
        <f t="shared" si="11"/>
        <v>3</v>
      </c>
      <c r="U21" s="25">
        <f t="shared" si="11"/>
        <v>5</v>
      </c>
      <c r="V21" s="25">
        <f t="shared" si="11"/>
        <v>18</v>
      </c>
      <c r="W21" s="25">
        <f t="shared" si="11"/>
        <v>18</v>
      </c>
      <c r="X21" s="25">
        <f t="shared" si="11"/>
        <v>-37</v>
      </c>
      <c r="Y21" s="25">
        <f t="shared" si="11"/>
        <v>-34</v>
      </c>
      <c r="Z21" s="178">
        <f t="shared" ref="Z21:AK21" si="12">Z18-Z19</f>
        <v>-30</v>
      </c>
      <c r="AA21" s="178">
        <f t="shared" si="12"/>
        <v>-78</v>
      </c>
      <c r="AB21" s="178">
        <f t="shared" si="12"/>
        <v>-25</v>
      </c>
      <c r="AC21" s="178">
        <f t="shared" si="12"/>
        <v>-12</v>
      </c>
      <c r="AD21" s="178">
        <f t="shared" si="12"/>
        <v>17</v>
      </c>
      <c r="AE21" s="178">
        <f t="shared" si="12"/>
        <v>-59</v>
      </c>
      <c r="AF21" s="178">
        <f t="shared" si="12"/>
        <v>0</v>
      </c>
      <c r="AG21" s="178">
        <f t="shared" si="12"/>
        <v>1</v>
      </c>
      <c r="AH21" s="178">
        <f t="shared" si="12"/>
        <v>0</v>
      </c>
      <c r="AI21" s="178">
        <f t="shared" si="12"/>
        <v>-39</v>
      </c>
      <c r="AJ21" s="178">
        <f t="shared" si="12"/>
        <v>17</v>
      </c>
      <c r="AK21" s="178">
        <f t="shared" si="12"/>
        <v>-10299549</v>
      </c>
      <c r="AL21" s="450"/>
      <c r="AM21" s="11" t="s">
        <v>94</v>
      </c>
    </row>
    <row r="22" spans="1:66" x14ac:dyDescent="0.25">
      <c r="A22" s="26"/>
      <c r="B22" s="13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>
        <f>(AJ19*100)/AJ18-100</f>
        <v>-1.6589573941416802E-4</v>
      </c>
      <c r="AK22" s="66" t="e">
        <f>(AK19*100)/AK18-100</f>
        <v>#DIV/0!</v>
      </c>
      <c r="AL22" s="26"/>
      <c r="AM22" s="13"/>
    </row>
    <row r="23" spans="1:66" x14ac:dyDescent="0.25">
      <c r="A23" s="454" t="s">
        <v>5</v>
      </c>
      <c r="B23" s="13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>
        <f>R22*100</f>
        <v>0</v>
      </c>
      <c r="S23" s="28">
        <f t="shared" ref="S23:AK23" si="13">S22*100</f>
        <v>0</v>
      </c>
      <c r="T23" s="28">
        <f t="shared" si="13"/>
        <v>0</v>
      </c>
      <c r="U23" s="28">
        <f t="shared" si="13"/>
        <v>0</v>
      </c>
      <c r="V23" s="28">
        <f t="shared" si="13"/>
        <v>0</v>
      </c>
      <c r="W23" s="28">
        <f t="shared" si="13"/>
        <v>0</v>
      </c>
      <c r="X23" s="28">
        <f t="shared" si="13"/>
        <v>0</v>
      </c>
      <c r="Y23" s="28">
        <f t="shared" si="13"/>
        <v>0</v>
      </c>
      <c r="Z23" s="28">
        <f t="shared" si="13"/>
        <v>0</v>
      </c>
      <c r="AA23" s="28">
        <f t="shared" si="13"/>
        <v>0</v>
      </c>
      <c r="AB23" s="28">
        <f t="shared" si="13"/>
        <v>0</v>
      </c>
      <c r="AC23" s="28">
        <f t="shared" si="13"/>
        <v>0</v>
      </c>
      <c r="AD23" s="28">
        <f t="shared" si="13"/>
        <v>0</v>
      </c>
      <c r="AE23" s="28">
        <f t="shared" si="13"/>
        <v>0</v>
      </c>
      <c r="AF23" s="28">
        <f t="shared" si="13"/>
        <v>0</v>
      </c>
      <c r="AG23" s="28">
        <f t="shared" si="13"/>
        <v>0</v>
      </c>
      <c r="AH23" s="28">
        <f t="shared" si="13"/>
        <v>0</v>
      </c>
      <c r="AI23" s="28">
        <f t="shared" si="13"/>
        <v>0</v>
      </c>
      <c r="AJ23" s="28">
        <f t="shared" si="13"/>
        <v>-1.6589573941416802E-2</v>
      </c>
      <c r="AK23" s="28" t="e">
        <f t="shared" si="13"/>
        <v>#DIV/0!</v>
      </c>
      <c r="AL23" s="454" t="s">
        <v>5</v>
      </c>
      <c r="AM23" s="13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</row>
    <row r="24" spans="1:66" x14ac:dyDescent="0.25">
      <c r="A24" s="455"/>
      <c r="B24" s="3" t="s">
        <v>1</v>
      </c>
      <c r="C24" s="5">
        <v>1078000</v>
      </c>
      <c r="D24" s="5">
        <v>1017200</v>
      </c>
      <c r="E24" s="5">
        <v>1004810</v>
      </c>
      <c r="F24" s="5">
        <v>954000</v>
      </c>
      <c r="G24" s="5">
        <v>805000</v>
      </c>
      <c r="H24" s="5">
        <v>776000</v>
      </c>
      <c r="I24" s="5">
        <v>745100</v>
      </c>
      <c r="J24" s="5">
        <v>705300</v>
      </c>
      <c r="K24" s="5">
        <v>654400</v>
      </c>
      <c r="L24" s="5">
        <v>610000</v>
      </c>
      <c r="M24" s="5">
        <v>585000</v>
      </c>
      <c r="N24" s="5">
        <v>558000</v>
      </c>
      <c r="O24" s="5">
        <v>538000</v>
      </c>
      <c r="P24" s="5">
        <v>525100</v>
      </c>
      <c r="Q24" s="5">
        <v>633000</v>
      </c>
      <c r="R24" s="5">
        <v>678000</v>
      </c>
      <c r="S24" s="5">
        <v>661000</v>
      </c>
      <c r="T24" s="5">
        <v>687000</v>
      </c>
      <c r="U24" s="5">
        <v>727000</v>
      </c>
      <c r="V24" s="5">
        <v>865000</v>
      </c>
      <c r="W24" s="5">
        <v>898000</v>
      </c>
      <c r="X24" s="5">
        <v>917300</v>
      </c>
      <c r="Y24" s="15">
        <v>1240790</v>
      </c>
      <c r="Z24" s="117">
        <v>1236143</v>
      </c>
      <c r="AA24" s="32">
        <v>1265676</v>
      </c>
      <c r="AB24" s="32">
        <v>1312967</v>
      </c>
      <c r="AC24" s="32">
        <v>1417176</v>
      </c>
      <c r="AD24" s="32">
        <v>1440151</v>
      </c>
      <c r="AE24" s="32">
        <v>1483100</v>
      </c>
      <c r="AF24" s="32">
        <v>1539300</v>
      </c>
      <c r="AG24" s="32">
        <v>1598800</v>
      </c>
      <c r="AH24" s="32">
        <v>1630400</v>
      </c>
      <c r="AI24" s="32">
        <v>1492500</v>
      </c>
      <c r="AJ24" s="417">
        <v>1483161</v>
      </c>
      <c r="AK24" s="417">
        <v>1421695</v>
      </c>
      <c r="AL24" s="455"/>
      <c r="AM24" s="3" t="s">
        <v>1</v>
      </c>
      <c r="AN24" s="181"/>
    </row>
    <row r="25" spans="1:66" x14ac:dyDescent="0.25">
      <c r="A25" s="455"/>
      <c r="B25" s="3" t="s">
        <v>2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9">
        <v>727410</v>
      </c>
      <c r="U25" s="29">
        <v>865100</v>
      </c>
      <c r="V25" s="29">
        <v>898300</v>
      </c>
      <c r="W25" s="29">
        <v>917300</v>
      </c>
      <c r="X25" s="29">
        <v>1240800</v>
      </c>
      <c r="Y25" s="29">
        <v>1236100</v>
      </c>
      <c r="Z25" s="32">
        <v>1265700</v>
      </c>
      <c r="AA25" s="32">
        <v>1313000</v>
      </c>
      <c r="AB25" s="32">
        <v>1417200</v>
      </c>
      <c r="AC25" s="32">
        <v>1440200</v>
      </c>
      <c r="AD25" s="32">
        <v>1483100</v>
      </c>
      <c r="AE25" s="32">
        <v>1503300</v>
      </c>
      <c r="AF25" s="32">
        <v>1539300</v>
      </c>
      <c r="AG25" s="32">
        <v>1594800</v>
      </c>
      <c r="AH25" s="32">
        <v>1630400</v>
      </c>
      <c r="AI25" s="32">
        <v>1492500</v>
      </c>
      <c r="AJ25" s="32">
        <v>1483200</v>
      </c>
      <c r="AK25" s="174"/>
      <c r="AL25" s="455"/>
      <c r="AM25" s="3" t="s">
        <v>2</v>
      </c>
    </row>
    <row r="26" spans="1:66" x14ac:dyDescent="0.25">
      <c r="A26" s="455"/>
      <c r="B26" s="24" t="s">
        <v>92</v>
      </c>
      <c r="C26" s="8">
        <v>1017000</v>
      </c>
      <c r="D26" s="8">
        <v>1005000</v>
      </c>
      <c r="E26" s="8">
        <v>954000</v>
      </c>
      <c r="F26" s="8">
        <v>805000</v>
      </c>
      <c r="G26" s="8">
        <v>776000</v>
      </c>
      <c r="H26" s="8">
        <v>745000</v>
      </c>
      <c r="I26" s="8">
        <v>705000</v>
      </c>
      <c r="J26" s="8">
        <v>654000</v>
      </c>
      <c r="K26" s="8">
        <v>610000</v>
      </c>
      <c r="L26" s="8">
        <v>585000</v>
      </c>
      <c r="M26" s="8">
        <v>558000</v>
      </c>
      <c r="N26" s="8">
        <v>538000</v>
      </c>
      <c r="O26" s="8">
        <v>525000</v>
      </c>
      <c r="P26" s="8">
        <v>633000</v>
      </c>
      <c r="Q26" s="8">
        <v>678000</v>
      </c>
      <c r="R26" s="8">
        <v>660716</v>
      </c>
      <c r="S26" s="8">
        <v>686765</v>
      </c>
      <c r="T26" s="8">
        <v>727406</v>
      </c>
      <c r="U26" s="8">
        <v>865070</v>
      </c>
      <c r="V26" s="8">
        <v>898307</v>
      </c>
      <c r="W26" s="8">
        <v>917304</v>
      </c>
      <c r="X26" s="8">
        <v>1240786</v>
      </c>
      <c r="Y26" s="8">
        <v>1236143</v>
      </c>
      <c r="Z26" s="176">
        <v>1265676</v>
      </c>
      <c r="AA26" s="176">
        <v>1312967</v>
      </c>
      <c r="AB26" s="176">
        <v>1417176</v>
      </c>
      <c r="AC26" s="176">
        <v>1440151</v>
      </c>
      <c r="AD26" s="176">
        <v>1483146</v>
      </c>
      <c r="AE26" s="176">
        <v>1503270</v>
      </c>
      <c r="AF26" s="176">
        <v>1539317</v>
      </c>
      <c r="AG26" s="176">
        <v>1598862</v>
      </c>
      <c r="AH26" s="176">
        <v>1611785</v>
      </c>
      <c r="AI26" s="176">
        <v>1492544</v>
      </c>
      <c r="AJ26" s="176">
        <v>1483161</v>
      </c>
      <c r="AK26" s="176">
        <v>1421695</v>
      </c>
      <c r="AL26" s="455"/>
      <c r="AM26" s="3" t="s">
        <v>92</v>
      </c>
    </row>
    <row r="27" spans="1:66" x14ac:dyDescent="0.25">
      <c r="A27" s="455"/>
      <c r="B27" s="11" t="s">
        <v>93</v>
      </c>
      <c r="C27" s="25">
        <f>C24-C26</f>
        <v>61000</v>
      </c>
      <c r="D27" s="25">
        <f t="shared" ref="D27:Y27" si="14">D24-D26</f>
        <v>12200</v>
      </c>
      <c r="E27" s="25">
        <f t="shared" si="14"/>
        <v>50810</v>
      </c>
      <c r="F27" s="25">
        <f t="shared" si="14"/>
        <v>149000</v>
      </c>
      <c r="G27" s="25">
        <f t="shared" si="14"/>
        <v>29000</v>
      </c>
      <c r="H27" s="25">
        <f t="shared" si="14"/>
        <v>31000</v>
      </c>
      <c r="I27" s="25">
        <f t="shared" si="14"/>
        <v>40100</v>
      </c>
      <c r="J27" s="25">
        <f t="shared" si="14"/>
        <v>51300</v>
      </c>
      <c r="K27" s="25">
        <f t="shared" si="14"/>
        <v>44400</v>
      </c>
      <c r="L27" s="25">
        <f t="shared" si="14"/>
        <v>25000</v>
      </c>
      <c r="M27" s="25">
        <f t="shared" si="14"/>
        <v>27000</v>
      </c>
      <c r="N27" s="25">
        <f t="shared" si="14"/>
        <v>20000</v>
      </c>
      <c r="O27" s="25">
        <f t="shared" si="14"/>
        <v>13000</v>
      </c>
      <c r="P27" s="25">
        <f t="shared" si="14"/>
        <v>-107900</v>
      </c>
      <c r="Q27" s="25">
        <f t="shared" si="14"/>
        <v>-45000</v>
      </c>
      <c r="R27" s="25">
        <f t="shared" si="14"/>
        <v>17284</v>
      </c>
      <c r="S27" s="25">
        <f t="shared" si="14"/>
        <v>-25765</v>
      </c>
      <c r="T27" s="25">
        <f t="shared" si="14"/>
        <v>-40406</v>
      </c>
      <c r="U27" s="25">
        <f t="shared" si="14"/>
        <v>-138070</v>
      </c>
      <c r="V27" s="25">
        <f t="shared" si="14"/>
        <v>-33307</v>
      </c>
      <c r="W27" s="25">
        <f t="shared" si="14"/>
        <v>-19304</v>
      </c>
      <c r="X27" s="25">
        <f t="shared" si="14"/>
        <v>-323486</v>
      </c>
      <c r="Y27" s="25">
        <f t="shared" si="14"/>
        <v>4647</v>
      </c>
      <c r="Z27" s="177">
        <f t="shared" ref="Z27:AK27" si="15">Z24-Z26</f>
        <v>-29533</v>
      </c>
      <c r="AA27" s="177">
        <f t="shared" si="15"/>
        <v>-47291</v>
      </c>
      <c r="AB27" s="177">
        <f t="shared" si="15"/>
        <v>-104209</v>
      </c>
      <c r="AC27" s="177">
        <f t="shared" si="15"/>
        <v>-22975</v>
      </c>
      <c r="AD27" s="177">
        <f t="shared" si="15"/>
        <v>-42995</v>
      </c>
      <c r="AE27" s="177">
        <f t="shared" si="15"/>
        <v>-20170</v>
      </c>
      <c r="AF27" s="177">
        <f t="shared" si="15"/>
        <v>-17</v>
      </c>
      <c r="AG27" s="177">
        <f t="shared" si="15"/>
        <v>-62</v>
      </c>
      <c r="AH27" s="177">
        <f t="shared" si="15"/>
        <v>18615</v>
      </c>
      <c r="AI27" s="177">
        <f t="shared" si="15"/>
        <v>-44</v>
      </c>
      <c r="AJ27" s="177">
        <f t="shared" si="15"/>
        <v>0</v>
      </c>
      <c r="AK27" s="177">
        <f t="shared" si="15"/>
        <v>0</v>
      </c>
      <c r="AL27" s="455"/>
      <c r="AM27" s="11" t="s">
        <v>93</v>
      </c>
    </row>
    <row r="28" spans="1:66" x14ac:dyDescent="0.25">
      <c r="A28" s="456"/>
      <c r="B28" s="11" t="s">
        <v>94</v>
      </c>
      <c r="C28" s="25">
        <f>C24-C26</f>
        <v>61000</v>
      </c>
      <c r="D28" s="25">
        <f t="shared" ref="D28:Y28" si="16">D24-D26</f>
        <v>12200</v>
      </c>
      <c r="E28" s="25">
        <f t="shared" si="16"/>
        <v>50810</v>
      </c>
      <c r="F28" s="25">
        <f t="shared" si="16"/>
        <v>149000</v>
      </c>
      <c r="G28" s="25">
        <f t="shared" si="16"/>
        <v>29000</v>
      </c>
      <c r="H28" s="25">
        <f t="shared" si="16"/>
        <v>31000</v>
      </c>
      <c r="I28" s="25">
        <f t="shared" si="16"/>
        <v>40100</v>
      </c>
      <c r="J28" s="25">
        <f t="shared" si="16"/>
        <v>51300</v>
      </c>
      <c r="K28" s="25">
        <f t="shared" si="16"/>
        <v>44400</v>
      </c>
      <c r="L28" s="25">
        <f t="shared" si="16"/>
        <v>25000</v>
      </c>
      <c r="M28" s="25">
        <f t="shared" si="16"/>
        <v>27000</v>
      </c>
      <c r="N28" s="25">
        <f t="shared" si="16"/>
        <v>20000</v>
      </c>
      <c r="O28" s="25">
        <f t="shared" si="16"/>
        <v>13000</v>
      </c>
      <c r="P28" s="25">
        <f t="shared" si="16"/>
        <v>-107900</v>
      </c>
      <c r="Q28" s="25">
        <f t="shared" si="16"/>
        <v>-45000</v>
      </c>
      <c r="R28" s="25">
        <f t="shared" si="16"/>
        <v>17284</v>
      </c>
      <c r="S28" s="25">
        <f t="shared" si="16"/>
        <v>-25765</v>
      </c>
      <c r="T28" s="25">
        <f t="shared" si="16"/>
        <v>-40406</v>
      </c>
      <c r="U28" s="25">
        <f t="shared" si="16"/>
        <v>-138070</v>
      </c>
      <c r="V28" s="25">
        <f t="shared" si="16"/>
        <v>-33307</v>
      </c>
      <c r="W28" s="25">
        <f t="shared" si="16"/>
        <v>-19304</v>
      </c>
      <c r="X28" s="25">
        <f t="shared" si="16"/>
        <v>-323486</v>
      </c>
      <c r="Y28" s="25">
        <f t="shared" si="16"/>
        <v>4647</v>
      </c>
      <c r="Z28" s="177">
        <f t="shared" ref="Z28:AK28" si="17">Z25-Z26</f>
        <v>24</v>
      </c>
      <c r="AA28" s="177">
        <f t="shared" si="17"/>
        <v>33</v>
      </c>
      <c r="AB28" s="177">
        <f t="shared" si="17"/>
        <v>24</v>
      </c>
      <c r="AC28" s="177">
        <f t="shared" si="17"/>
        <v>49</v>
      </c>
      <c r="AD28" s="177">
        <f t="shared" si="17"/>
        <v>-46</v>
      </c>
      <c r="AE28" s="177">
        <f t="shared" si="17"/>
        <v>30</v>
      </c>
      <c r="AF28" s="177">
        <f t="shared" si="17"/>
        <v>-17</v>
      </c>
      <c r="AG28" s="177">
        <f t="shared" si="17"/>
        <v>-4062</v>
      </c>
      <c r="AH28" s="177">
        <f t="shared" si="17"/>
        <v>18615</v>
      </c>
      <c r="AI28" s="177">
        <f t="shared" si="17"/>
        <v>-44</v>
      </c>
      <c r="AJ28" s="177">
        <f t="shared" si="17"/>
        <v>39</v>
      </c>
      <c r="AK28" s="177">
        <f t="shared" si="17"/>
        <v>-1421695</v>
      </c>
      <c r="AL28" s="456"/>
      <c r="AM28" s="11" t="s">
        <v>94</v>
      </c>
    </row>
    <row r="29" spans="1:66" x14ac:dyDescent="0.25">
      <c r="B29" s="13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  <c r="AF29" s="161"/>
      <c r="AG29" s="161"/>
      <c r="AH29" s="161"/>
      <c r="AI29" s="161"/>
      <c r="AJ29" s="161">
        <f>(AJ26*100)/AJ25-100</f>
        <v>-2.6294498381815856E-3</v>
      </c>
      <c r="AK29" s="161" t="e">
        <f>(AK26*100)/AK25-100</f>
        <v>#DIV/0!</v>
      </c>
      <c r="AM29" s="13"/>
    </row>
    <row r="30" spans="1:66" x14ac:dyDescent="0.25">
      <c r="A30" s="454" t="s">
        <v>6</v>
      </c>
      <c r="B30" s="3" t="s">
        <v>1</v>
      </c>
      <c r="C30" s="5">
        <v>702000</v>
      </c>
      <c r="D30" s="5">
        <v>663000</v>
      </c>
      <c r="E30" s="5">
        <v>670000</v>
      </c>
      <c r="F30" s="5">
        <v>749000</v>
      </c>
      <c r="G30" s="5">
        <v>720927</v>
      </c>
      <c r="H30" s="5">
        <v>751000</v>
      </c>
      <c r="I30" s="5">
        <v>784000</v>
      </c>
      <c r="J30" s="5">
        <v>806000</v>
      </c>
      <c r="K30" s="5">
        <v>816000</v>
      </c>
      <c r="L30" s="5">
        <v>822000</v>
      </c>
      <c r="M30" s="5">
        <v>839000</v>
      </c>
      <c r="N30" s="5">
        <v>858000</v>
      </c>
      <c r="O30" s="5">
        <v>865000</v>
      </c>
      <c r="P30" s="5">
        <v>860000</v>
      </c>
      <c r="Q30" s="5">
        <v>879000</v>
      </c>
      <c r="R30" s="5">
        <v>897000</v>
      </c>
      <c r="S30" s="5">
        <v>840000</v>
      </c>
      <c r="T30" s="5">
        <v>834000</v>
      </c>
      <c r="U30" s="5">
        <v>805000</v>
      </c>
      <c r="V30" s="5">
        <v>862396</v>
      </c>
      <c r="W30" s="5">
        <v>820000</v>
      </c>
      <c r="X30" s="5">
        <v>763988</v>
      </c>
      <c r="Y30" s="15">
        <v>610857</v>
      </c>
      <c r="Z30" s="117">
        <v>596380</v>
      </c>
      <c r="AA30" s="182">
        <v>574627</v>
      </c>
      <c r="AB30" s="32">
        <v>548245</v>
      </c>
      <c r="AC30" s="32">
        <v>524741</v>
      </c>
      <c r="AD30" s="32">
        <v>503466</v>
      </c>
      <c r="AE30" s="32">
        <v>470331</v>
      </c>
      <c r="AF30" s="32">
        <v>480740</v>
      </c>
      <c r="AG30" s="32">
        <v>447791</v>
      </c>
      <c r="AH30" s="419">
        <v>408214</v>
      </c>
      <c r="AI30" s="419">
        <v>374471</v>
      </c>
      <c r="AJ30" s="419">
        <v>323362</v>
      </c>
      <c r="AK30" s="419">
        <v>290246</v>
      </c>
      <c r="AL30" s="454" t="s">
        <v>6</v>
      </c>
      <c r="AM30" s="3" t="s">
        <v>1</v>
      </c>
    </row>
    <row r="31" spans="1:66" x14ac:dyDescent="0.25">
      <c r="A31" s="454"/>
      <c r="B31" s="3" t="s">
        <v>2</v>
      </c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174"/>
      <c r="AA31" s="174"/>
      <c r="AB31" s="174"/>
      <c r="AC31" s="174"/>
      <c r="AD31" s="174"/>
      <c r="AE31" s="174"/>
      <c r="AF31" s="174"/>
      <c r="AG31" s="174"/>
      <c r="AH31" s="174"/>
      <c r="AI31" s="174"/>
      <c r="AJ31" s="174"/>
      <c r="AK31" s="174"/>
      <c r="AL31" s="454"/>
      <c r="AM31" s="3" t="s">
        <v>2</v>
      </c>
    </row>
    <row r="32" spans="1:66" x14ac:dyDescent="0.25">
      <c r="A32" s="454"/>
      <c r="B32" s="3" t="s">
        <v>92</v>
      </c>
      <c r="C32" s="8">
        <v>663000</v>
      </c>
      <c r="D32" s="8">
        <v>670000</v>
      </c>
      <c r="E32" s="8">
        <v>749000</v>
      </c>
      <c r="F32" s="8">
        <v>721000</v>
      </c>
      <c r="G32" s="8">
        <v>751000</v>
      </c>
      <c r="H32" s="8">
        <v>784000</v>
      </c>
      <c r="I32" s="8">
        <v>806000</v>
      </c>
      <c r="J32" s="8">
        <v>816000</v>
      </c>
      <c r="K32" s="8">
        <v>822000</v>
      </c>
      <c r="L32" s="8">
        <v>839000</v>
      </c>
      <c r="M32" s="8">
        <v>858000</v>
      </c>
      <c r="N32" s="8">
        <v>865000</v>
      </c>
      <c r="O32" s="8">
        <v>860000</v>
      </c>
      <c r="P32" s="8">
        <v>879000</v>
      </c>
      <c r="Q32" s="8">
        <v>897000</v>
      </c>
      <c r="R32" s="8">
        <v>840000</v>
      </c>
      <c r="S32" s="8">
        <v>834000</v>
      </c>
      <c r="T32" s="8">
        <v>805000</v>
      </c>
      <c r="U32" s="8">
        <v>862000</v>
      </c>
      <c r="V32" s="8">
        <v>820000</v>
      </c>
      <c r="W32" s="8">
        <v>764000</v>
      </c>
      <c r="X32" s="8">
        <v>610000</v>
      </c>
      <c r="Y32" s="8">
        <v>596380</v>
      </c>
      <c r="Z32" s="117">
        <v>574624</v>
      </c>
      <c r="AA32" s="117">
        <v>548245</v>
      </c>
      <c r="AB32" s="117">
        <v>524741</v>
      </c>
      <c r="AC32" s="117">
        <v>503466</v>
      </c>
      <c r="AD32" s="117">
        <v>519906</v>
      </c>
      <c r="AE32" s="117">
        <v>480740</v>
      </c>
      <c r="AF32" s="117">
        <v>447791</v>
      </c>
      <c r="AG32" s="117">
        <v>406702</v>
      </c>
      <c r="AH32" s="117">
        <v>408214</v>
      </c>
      <c r="AI32" s="117">
        <v>374471</v>
      </c>
      <c r="AJ32" s="117">
        <v>323362</v>
      </c>
      <c r="AK32" s="117">
        <v>290246</v>
      </c>
      <c r="AL32" s="454"/>
      <c r="AM32" s="3" t="s">
        <v>92</v>
      </c>
    </row>
    <row r="33" spans="1:64" x14ac:dyDescent="0.25">
      <c r="A33" s="454"/>
      <c r="B33" s="11" t="s">
        <v>93</v>
      </c>
      <c r="C33" s="25">
        <f>C30-C32</f>
        <v>39000</v>
      </c>
      <c r="D33" s="25">
        <f t="shared" ref="D33:Y33" si="18">D30-D32</f>
        <v>-7000</v>
      </c>
      <c r="E33" s="25">
        <f t="shared" si="18"/>
        <v>-79000</v>
      </c>
      <c r="F33" s="25">
        <f t="shared" si="18"/>
        <v>28000</v>
      </c>
      <c r="G33" s="25">
        <f t="shared" si="18"/>
        <v>-30073</v>
      </c>
      <c r="H33" s="25">
        <f t="shared" si="18"/>
        <v>-33000</v>
      </c>
      <c r="I33" s="25">
        <f t="shared" si="18"/>
        <v>-22000</v>
      </c>
      <c r="J33" s="25">
        <f t="shared" si="18"/>
        <v>-10000</v>
      </c>
      <c r="K33" s="25">
        <f t="shared" si="18"/>
        <v>-6000</v>
      </c>
      <c r="L33" s="25">
        <f t="shared" si="18"/>
        <v>-17000</v>
      </c>
      <c r="M33" s="25">
        <f t="shared" si="18"/>
        <v>-19000</v>
      </c>
      <c r="N33" s="25">
        <f t="shared" si="18"/>
        <v>-7000</v>
      </c>
      <c r="O33" s="25">
        <f t="shared" si="18"/>
        <v>5000</v>
      </c>
      <c r="P33" s="25">
        <f t="shared" si="18"/>
        <v>-19000</v>
      </c>
      <c r="Q33" s="25">
        <f t="shared" si="18"/>
        <v>-18000</v>
      </c>
      <c r="R33" s="25">
        <f t="shared" si="18"/>
        <v>57000</v>
      </c>
      <c r="S33" s="25">
        <f t="shared" si="18"/>
        <v>6000</v>
      </c>
      <c r="T33" s="25">
        <f t="shared" si="18"/>
        <v>29000</v>
      </c>
      <c r="U33" s="25">
        <f t="shared" si="18"/>
        <v>-57000</v>
      </c>
      <c r="V33" s="25">
        <f t="shared" si="18"/>
        <v>42396</v>
      </c>
      <c r="W33" s="25">
        <f t="shared" si="18"/>
        <v>56000</v>
      </c>
      <c r="X33" s="25">
        <f t="shared" si="18"/>
        <v>153988</v>
      </c>
      <c r="Y33" s="25">
        <f t="shared" si="18"/>
        <v>14477</v>
      </c>
      <c r="Z33" s="178">
        <f t="shared" ref="Z33:AK33" si="19">Z30-Z32</f>
        <v>21756</v>
      </c>
      <c r="AA33" s="178">
        <f t="shared" si="19"/>
        <v>26382</v>
      </c>
      <c r="AB33" s="178">
        <f t="shared" si="19"/>
        <v>23504</v>
      </c>
      <c r="AC33" s="178">
        <f t="shared" si="19"/>
        <v>21275</v>
      </c>
      <c r="AD33" s="178">
        <f t="shared" si="19"/>
        <v>-16440</v>
      </c>
      <c r="AE33" s="178">
        <f t="shared" si="19"/>
        <v>-10409</v>
      </c>
      <c r="AF33" s="178">
        <f t="shared" si="19"/>
        <v>32949</v>
      </c>
      <c r="AG33" s="178">
        <f t="shared" si="19"/>
        <v>41089</v>
      </c>
      <c r="AH33" s="178">
        <f t="shared" si="19"/>
        <v>0</v>
      </c>
      <c r="AI33" s="178">
        <f t="shared" si="19"/>
        <v>0</v>
      </c>
      <c r="AJ33" s="178">
        <f t="shared" si="19"/>
        <v>0</v>
      </c>
      <c r="AK33" s="178">
        <f t="shared" si="19"/>
        <v>0</v>
      </c>
      <c r="AL33" s="454"/>
      <c r="AM33" s="11" t="s">
        <v>93</v>
      </c>
    </row>
    <row r="34" spans="1:64" x14ac:dyDescent="0.25">
      <c r="A34" s="459"/>
      <c r="B34" s="11" t="s">
        <v>94</v>
      </c>
      <c r="C34" s="25">
        <f>C30-C32</f>
        <v>39000</v>
      </c>
      <c r="D34" s="25">
        <f t="shared" ref="D34:Y34" si="20">D30-D32</f>
        <v>-7000</v>
      </c>
      <c r="E34" s="25">
        <f t="shared" si="20"/>
        <v>-79000</v>
      </c>
      <c r="F34" s="25">
        <f t="shared" si="20"/>
        <v>28000</v>
      </c>
      <c r="G34" s="25">
        <f t="shared" si="20"/>
        <v>-30073</v>
      </c>
      <c r="H34" s="25">
        <f t="shared" si="20"/>
        <v>-33000</v>
      </c>
      <c r="I34" s="25">
        <f t="shared" si="20"/>
        <v>-22000</v>
      </c>
      <c r="J34" s="25">
        <f t="shared" si="20"/>
        <v>-10000</v>
      </c>
      <c r="K34" s="25">
        <f t="shared" si="20"/>
        <v>-6000</v>
      </c>
      <c r="L34" s="25">
        <f t="shared" si="20"/>
        <v>-17000</v>
      </c>
      <c r="M34" s="25">
        <f t="shared" si="20"/>
        <v>-19000</v>
      </c>
      <c r="N34" s="25">
        <f t="shared" si="20"/>
        <v>-7000</v>
      </c>
      <c r="O34" s="25">
        <f t="shared" si="20"/>
        <v>5000</v>
      </c>
      <c r="P34" s="25">
        <f t="shared" si="20"/>
        <v>-19000</v>
      </c>
      <c r="Q34" s="25">
        <f t="shared" si="20"/>
        <v>-18000</v>
      </c>
      <c r="R34" s="25">
        <f t="shared" si="20"/>
        <v>57000</v>
      </c>
      <c r="S34" s="25">
        <f t="shared" si="20"/>
        <v>6000</v>
      </c>
      <c r="T34" s="25">
        <f t="shared" si="20"/>
        <v>29000</v>
      </c>
      <c r="U34" s="25">
        <f t="shared" si="20"/>
        <v>-57000</v>
      </c>
      <c r="V34" s="25">
        <f t="shared" si="20"/>
        <v>42396</v>
      </c>
      <c r="W34" s="25">
        <f t="shared" si="20"/>
        <v>56000</v>
      </c>
      <c r="X34" s="25">
        <f t="shared" si="20"/>
        <v>153988</v>
      </c>
      <c r="Y34" s="25">
        <f t="shared" si="20"/>
        <v>14477</v>
      </c>
      <c r="Z34" s="178">
        <f t="shared" ref="Z34:AK34" si="21">Z31-Z32</f>
        <v>-574624</v>
      </c>
      <c r="AA34" s="178">
        <f t="shared" si="21"/>
        <v>-548245</v>
      </c>
      <c r="AB34" s="178">
        <f t="shared" si="21"/>
        <v>-524741</v>
      </c>
      <c r="AC34" s="178">
        <f t="shared" si="21"/>
        <v>-503466</v>
      </c>
      <c r="AD34" s="178">
        <f t="shared" si="21"/>
        <v>-519906</v>
      </c>
      <c r="AE34" s="178">
        <f t="shared" si="21"/>
        <v>-480740</v>
      </c>
      <c r="AF34" s="178">
        <f t="shared" si="21"/>
        <v>-447791</v>
      </c>
      <c r="AG34" s="178">
        <f t="shared" si="21"/>
        <v>-406702</v>
      </c>
      <c r="AH34" s="178">
        <f t="shared" si="21"/>
        <v>-408214</v>
      </c>
      <c r="AI34" s="178">
        <f t="shared" si="21"/>
        <v>-374471</v>
      </c>
      <c r="AJ34" s="178">
        <f t="shared" si="21"/>
        <v>-323362</v>
      </c>
      <c r="AK34" s="178">
        <f t="shared" si="21"/>
        <v>-290246</v>
      </c>
      <c r="AL34" s="459"/>
      <c r="AM34" s="11" t="s">
        <v>94</v>
      </c>
    </row>
    <row r="35" spans="1:64" x14ac:dyDescent="0.25">
      <c r="A35" s="22"/>
      <c r="B35" s="13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8"/>
      <c r="Z35" s="116"/>
      <c r="AA35" s="116"/>
      <c r="AB35" s="117"/>
      <c r="AC35" s="117"/>
      <c r="AD35" s="117"/>
      <c r="AE35" s="117"/>
      <c r="AF35" s="117"/>
      <c r="AG35" s="117"/>
      <c r="AH35" s="117"/>
      <c r="AI35" s="117"/>
      <c r="AJ35" s="117"/>
      <c r="AK35" s="117"/>
      <c r="AL35" s="22"/>
      <c r="AM35" s="13"/>
    </row>
    <row r="36" spans="1:64" ht="15.75" thickBot="1" x14ac:dyDescent="0.3">
      <c r="A36" s="452" t="s">
        <v>7</v>
      </c>
      <c r="B36" s="3" t="s">
        <v>1</v>
      </c>
      <c r="C36" s="30">
        <v>127561000</v>
      </c>
      <c r="D36" s="30">
        <v>113968000</v>
      </c>
      <c r="E36" s="30">
        <v>121379000</v>
      </c>
      <c r="F36" s="30">
        <v>106032000</v>
      </c>
      <c r="G36" s="30">
        <v>87725000</v>
      </c>
      <c r="H36" s="30">
        <v>76532000</v>
      </c>
      <c r="I36" s="30">
        <v>70157000</v>
      </c>
      <c r="J36" s="30">
        <v>80524000</v>
      </c>
      <c r="K36" s="30">
        <v>78478000</v>
      </c>
      <c r="L36" s="30">
        <v>66620000</v>
      </c>
      <c r="M36" s="30">
        <v>69480000</v>
      </c>
      <c r="N36" s="30">
        <v>69143000</v>
      </c>
      <c r="O36" s="30">
        <v>70076000</v>
      </c>
      <c r="P36" s="30">
        <v>71413000</v>
      </c>
      <c r="Q36" s="30">
        <v>77379000</v>
      </c>
      <c r="R36" s="30">
        <v>76616000</v>
      </c>
      <c r="S36" s="30">
        <v>87014000</v>
      </c>
      <c r="T36" s="30">
        <v>86552000</v>
      </c>
      <c r="U36" s="30">
        <v>84991000</v>
      </c>
      <c r="V36" s="30">
        <v>82036000</v>
      </c>
      <c r="W36" s="30">
        <v>84373000</v>
      </c>
      <c r="X36" s="30">
        <v>83843000</v>
      </c>
      <c r="Y36" s="15">
        <v>80845000</v>
      </c>
      <c r="Z36" s="184">
        <v>89692000</v>
      </c>
      <c r="AA36" s="6">
        <v>90016000</v>
      </c>
      <c r="AB36" s="184">
        <v>89340000</v>
      </c>
      <c r="AC36" s="184">
        <v>75447000</v>
      </c>
      <c r="AD36" s="184">
        <v>78648000</v>
      </c>
      <c r="AE36" s="184">
        <v>79245000</v>
      </c>
      <c r="AF36" s="419">
        <v>73993010</v>
      </c>
      <c r="AG36" s="420">
        <v>75364575</v>
      </c>
      <c r="AH36" s="419">
        <v>71183431</v>
      </c>
      <c r="AI36" s="420">
        <v>77148372</v>
      </c>
      <c r="AJ36" s="419">
        <v>78220737</v>
      </c>
      <c r="AK36" s="419">
        <v>77749597</v>
      </c>
      <c r="AL36" s="452" t="s">
        <v>7</v>
      </c>
      <c r="AM36" s="3" t="s">
        <v>1</v>
      </c>
    </row>
    <row r="37" spans="1:64" x14ac:dyDescent="0.25">
      <c r="A37" s="460"/>
      <c r="B37" s="3" t="s">
        <v>2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174"/>
      <c r="AA37" s="174"/>
      <c r="AB37" s="174"/>
      <c r="AC37" s="174"/>
      <c r="AD37" s="174"/>
      <c r="AE37" s="174"/>
      <c r="AF37" s="174"/>
      <c r="AG37" s="174"/>
      <c r="AH37" s="174"/>
      <c r="AI37" s="174"/>
      <c r="AJ37" s="174"/>
      <c r="AK37" s="174"/>
      <c r="AL37" s="460"/>
      <c r="AM37" s="3" t="s">
        <v>2</v>
      </c>
    </row>
    <row r="38" spans="1:64" x14ac:dyDescent="0.25">
      <c r="A38" s="460"/>
      <c r="B38" s="3" t="s">
        <v>92</v>
      </c>
      <c r="C38" s="8">
        <v>113968000</v>
      </c>
      <c r="D38" s="8">
        <v>121379000</v>
      </c>
      <c r="E38" s="8">
        <v>106032000</v>
      </c>
      <c r="F38" s="8">
        <v>87725000</v>
      </c>
      <c r="G38" s="8">
        <v>76532000</v>
      </c>
      <c r="H38" s="8">
        <v>70157000</v>
      </c>
      <c r="I38" s="8">
        <v>80524000</v>
      </c>
      <c r="J38" s="8">
        <v>78478000</v>
      </c>
      <c r="K38" s="8">
        <v>66620000</v>
      </c>
      <c r="L38" s="8">
        <v>69480000</v>
      </c>
      <c r="M38" s="8">
        <v>69143000</v>
      </c>
      <c r="N38" s="8">
        <v>70076000</v>
      </c>
      <c r="O38" s="8">
        <v>71413000</v>
      </c>
      <c r="P38" s="8">
        <v>77379000</v>
      </c>
      <c r="Q38" s="8">
        <v>76616000</v>
      </c>
      <c r="R38" s="8">
        <v>87014405</v>
      </c>
      <c r="S38" s="8">
        <v>86552203</v>
      </c>
      <c r="T38" s="8">
        <v>84990600</v>
      </c>
      <c r="U38" s="8">
        <v>81952424</v>
      </c>
      <c r="V38" s="8">
        <v>84372215</v>
      </c>
      <c r="W38" s="8">
        <v>83843079</v>
      </c>
      <c r="X38" s="8">
        <v>80844859</v>
      </c>
      <c r="Y38" s="8">
        <v>79841651</v>
      </c>
      <c r="Z38" s="179">
        <v>80135680</v>
      </c>
      <c r="AA38" s="179">
        <v>79440251</v>
      </c>
      <c r="AB38" s="179">
        <v>75446750</v>
      </c>
      <c r="AC38" s="179">
        <v>78648098</v>
      </c>
      <c r="AD38" s="179">
        <v>75689854</v>
      </c>
      <c r="AE38" s="179">
        <v>73288712</v>
      </c>
      <c r="AF38" s="179">
        <v>73993010</v>
      </c>
      <c r="AG38" s="179">
        <v>75364575</v>
      </c>
      <c r="AH38" s="179">
        <v>71183431</v>
      </c>
      <c r="AI38" s="179">
        <v>77148372</v>
      </c>
      <c r="AJ38" s="179">
        <v>78220737</v>
      </c>
      <c r="AK38" s="179">
        <v>77749597</v>
      </c>
      <c r="AL38" s="460"/>
      <c r="AM38" s="3" t="s">
        <v>92</v>
      </c>
    </row>
    <row r="39" spans="1:64" x14ac:dyDescent="0.25">
      <c r="A39" s="460"/>
      <c r="B39" s="11" t="s">
        <v>93</v>
      </c>
      <c r="C39" s="25">
        <f>C36-C38</f>
        <v>13593000</v>
      </c>
      <c r="D39" s="25">
        <f t="shared" ref="D39:Y39" si="22">D36-D38</f>
        <v>-7411000</v>
      </c>
      <c r="E39" s="25">
        <f t="shared" si="22"/>
        <v>15347000</v>
      </c>
      <c r="F39" s="25">
        <f t="shared" si="22"/>
        <v>18307000</v>
      </c>
      <c r="G39" s="25">
        <f t="shared" si="22"/>
        <v>11193000</v>
      </c>
      <c r="H39" s="25">
        <f t="shared" si="22"/>
        <v>6375000</v>
      </c>
      <c r="I39" s="25">
        <f t="shared" si="22"/>
        <v>-10367000</v>
      </c>
      <c r="J39" s="25">
        <f t="shared" si="22"/>
        <v>2046000</v>
      </c>
      <c r="K39" s="25">
        <f t="shared" si="22"/>
        <v>11858000</v>
      </c>
      <c r="L39" s="25">
        <f t="shared" si="22"/>
        <v>-2860000</v>
      </c>
      <c r="M39" s="25">
        <f t="shared" si="22"/>
        <v>337000</v>
      </c>
      <c r="N39" s="25">
        <f t="shared" si="22"/>
        <v>-933000</v>
      </c>
      <c r="O39" s="25">
        <f t="shared" si="22"/>
        <v>-1337000</v>
      </c>
      <c r="P39" s="25">
        <f t="shared" si="22"/>
        <v>-5966000</v>
      </c>
      <c r="Q39" s="25">
        <f t="shared" si="22"/>
        <v>763000</v>
      </c>
      <c r="R39" s="25">
        <f t="shared" si="22"/>
        <v>-10398405</v>
      </c>
      <c r="S39" s="25">
        <f t="shared" si="22"/>
        <v>461797</v>
      </c>
      <c r="T39" s="25">
        <f t="shared" si="22"/>
        <v>1561400</v>
      </c>
      <c r="U39" s="25">
        <f t="shared" si="22"/>
        <v>3038576</v>
      </c>
      <c r="V39" s="25">
        <f t="shared" si="22"/>
        <v>-2336215</v>
      </c>
      <c r="W39" s="25">
        <f t="shared" si="22"/>
        <v>529921</v>
      </c>
      <c r="X39" s="25">
        <f t="shared" si="22"/>
        <v>2998141</v>
      </c>
      <c r="Y39" s="25">
        <f t="shared" si="22"/>
        <v>1003349</v>
      </c>
      <c r="Z39" s="177">
        <f t="shared" ref="Z39:AK39" si="23">Z36-Z38</f>
        <v>9556320</v>
      </c>
      <c r="AA39" s="177">
        <f t="shared" si="23"/>
        <v>10575749</v>
      </c>
      <c r="AB39" s="177">
        <f t="shared" si="23"/>
        <v>13893250</v>
      </c>
      <c r="AC39" s="177">
        <f t="shared" si="23"/>
        <v>-3201098</v>
      </c>
      <c r="AD39" s="177">
        <f t="shared" si="23"/>
        <v>2958146</v>
      </c>
      <c r="AE39" s="177">
        <f t="shared" si="23"/>
        <v>5956288</v>
      </c>
      <c r="AF39" s="177">
        <f t="shared" si="23"/>
        <v>0</v>
      </c>
      <c r="AG39" s="177">
        <f t="shared" si="23"/>
        <v>0</v>
      </c>
      <c r="AH39" s="177">
        <f t="shared" si="23"/>
        <v>0</v>
      </c>
      <c r="AI39" s="177">
        <f t="shared" si="23"/>
        <v>0</v>
      </c>
      <c r="AJ39" s="177">
        <f t="shared" si="23"/>
        <v>0</v>
      </c>
      <c r="AK39" s="177">
        <f t="shared" si="23"/>
        <v>0</v>
      </c>
      <c r="AL39" s="460"/>
      <c r="AM39" s="11" t="s">
        <v>93</v>
      </c>
    </row>
    <row r="40" spans="1:64" x14ac:dyDescent="0.25">
      <c r="A40" s="460"/>
      <c r="B40" s="11" t="s">
        <v>94</v>
      </c>
      <c r="C40" s="25">
        <f>C37-C38</f>
        <v>-113968000</v>
      </c>
      <c r="D40" s="25">
        <f t="shared" ref="D40:Y40" si="24">D37-D38</f>
        <v>-121379000</v>
      </c>
      <c r="E40" s="25">
        <f t="shared" si="24"/>
        <v>-106032000</v>
      </c>
      <c r="F40" s="25">
        <f t="shared" si="24"/>
        <v>-87725000</v>
      </c>
      <c r="G40" s="25">
        <f t="shared" si="24"/>
        <v>-76532000</v>
      </c>
      <c r="H40" s="25">
        <f t="shared" si="24"/>
        <v>-70157000</v>
      </c>
      <c r="I40" s="25">
        <f t="shared" si="24"/>
        <v>-80524000</v>
      </c>
      <c r="J40" s="25">
        <f t="shared" si="24"/>
        <v>-78478000</v>
      </c>
      <c r="K40" s="25">
        <f t="shared" si="24"/>
        <v>-66620000</v>
      </c>
      <c r="L40" s="25">
        <f t="shared" si="24"/>
        <v>-69480000</v>
      </c>
      <c r="M40" s="25">
        <f t="shared" si="24"/>
        <v>-69143000</v>
      </c>
      <c r="N40" s="25">
        <f t="shared" si="24"/>
        <v>-70076000</v>
      </c>
      <c r="O40" s="25">
        <f t="shared" si="24"/>
        <v>-71413000</v>
      </c>
      <c r="P40" s="25">
        <f t="shared" si="24"/>
        <v>-77379000</v>
      </c>
      <c r="Q40" s="25">
        <f t="shared" si="24"/>
        <v>-76616000</v>
      </c>
      <c r="R40" s="25">
        <f t="shared" si="24"/>
        <v>-87014405</v>
      </c>
      <c r="S40" s="25">
        <f t="shared" si="24"/>
        <v>-86552203</v>
      </c>
      <c r="T40" s="25">
        <f t="shared" si="24"/>
        <v>-84990600</v>
      </c>
      <c r="U40" s="25">
        <f t="shared" si="24"/>
        <v>-81952424</v>
      </c>
      <c r="V40" s="25">
        <f t="shared" si="24"/>
        <v>-84372215</v>
      </c>
      <c r="W40" s="25">
        <f t="shared" si="24"/>
        <v>-83843079</v>
      </c>
      <c r="X40" s="25">
        <f t="shared" si="24"/>
        <v>-80844859</v>
      </c>
      <c r="Y40" s="25">
        <f t="shared" si="24"/>
        <v>-79841651</v>
      </c>
      <c r="Z40" s="177">
        <f t="shared" ref="Z40:AK40" si="25">Z37-Z38</f>
        <v>-80135680</v>
      </c>
      <c r="AA40" s="177">
        <f t="shared" si="25"/>
        <v>-79440251</v>
      </c>
      <c r="AB40" s="177">
        <f t="shared" si="25"/>
        <v>-75446750</v>
      </c>
      <c r="AC40" s="177">
        <f t="shared" si="25"/>
        <v>-78648098</v>
      </c>
      <c r="AD40" s="177">
        <f t="shared" si="25"/>
        <v>-75689854</v>
      </c>
      <c r="AE40" s="177">
        <f t="shared" si="25"/>
        <v>-73288712</v>
      </c>
      <c r="AF40" s="177">
        <f t="shared" si="25"/>
        <v>-73993010</v>
      </c>
      <c r="AG40" s="177">
        <f t="shared" si="25"/>
        <v>-75364575</v>
      </c>
      <c r="AH40" s="177">
        <f t="shared" si="25"/>
        <v>-71183431</v>
      </c>
      <c r="AI40" s="177">
        <f t="shared" si="25"/>
        <v>-77148372</v>
      </c>
      <c r="AJ40" s="177">
        <f t="shared" si="25"/>
        <v>-78220737</v>
      </c>
      <c r="AK40" s="177">
        <f t="shared" si="25"/>
        <v>-77749597</v>
      </c>
      <c r="AL40" s="460"/>
      <c r="AM40" s="11" t="s">
        <v>94</v>
      </c>
    </row>
    <row r="41" spans="1:64" x14ac:dyDescent="0.25"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8"/>
      <c r="Z41" s="116"/>
      <c r="AA41" s="116"/>
      <c r="AB41" s="117"/>
      <c r="AC41" s="117"/>
      <c r="AD41" s="117"/>
      <c r="AE41" s="117"/>
      <c r="AF41" s="117"/>
      <c r="AG41" s="117"/>
      <c r="AH41" s="117"/>
      <c r="AI41" s="117"/>
      <c r="AJ41" s="117"/>
      <c r="AK41" s="117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  <c r="BI41" s="21"/>
      <c r="BJ41" s="21"/>
      <c r="BK41" s="21"/>
      <c r="BL41" s="21"/>
    </row>
    <row r="42" spans="1:64" x14ac:dyDescent="0.25">
      <c r="A42" s="452" t="s">
        <v>8</v>
      </c>
      <c r="B42" s="3" t="s">
        <v>1</v>
      </c>
      <c r="C42" s="32">
        <v>36000</v>
      </c>
      <c r="D42" s="32">
        <v>35000</v>
      </c>
      <c r="E42" s="32">
        <v>35000</v>
      </c>
      <c r="F42" s="32">
        <v>35000</v>
      </c>
      <c r="G42" s="32">
        <v>34000</v>
      </c>
      <c r="H42" s="32">
        <v>33000</v>
      </c>
      <c r="I42" s="32">
        <v>32000</v>
      </c>
      <c r="J42" s="32">
        <v>31000</v>
      </c>
      <c r="K42" s="32">
        <v>30000</v>
      </c>
      <c r="L42" s="32">
        <v>30500</v>
      </c>
      <c r="M42" s="32">
        <v>31000</v>
      </c>
      <c r="N42" s="32">
        <v>30000</v>
      </c>
      <c r="O42" s="32">
        <v>31000</v>
      </c>
      <c r="P42" s="32">
        <v>28000</v>
      </c>
      <c r="Q42" s="32">
        <v>28000</v>
      </c>
      <c r="R42" s="32">
        <v>28000</v>
      </c>
      <c r="S42" s="32">
        <v>29000</v>
      </c>
      <c r="T42" s="32">
        <v>29000</v>
      </c>
      <c r="U42" s="32">
        <v>29000</v>
      </c>
      <c r="V42" s="32">
        <v>29000</v>
      </c>
      <c r="W42" s="32">
        <v>30000</v>
      </c>
      <c r="X42" s="32">
        <v>30000</v>
      </c>
      <c r="Y42" s="15">
        <v>30000</v>
      </c>
      <c r="Z42" s="184">
        <v>30000</v>
      </c>
      <c r="AA42" s="184">
        <v>30000</v>
      </c>
      <c r="AB42" s="184">
        <v>30000</v>
      </c>
      <c r="AC42" s="184">
        <v>30023</v>
      </c>
      <c r="AD42" s="184">
        <v>30206</v>
      </c>
      <c r="AE42" s="184">
        <v>30344</v>
      </c>
      <c r="AF42" s="381"/>
      <c r="AG42" s="381"/>
      <c r="AH42" s="381"/>
      <c r="AI42" s="381"/>
      <c r="AJ42" s="381"/>
      <c r="AK42" s="381"/>
      <c r="AL42" s="452" t="s">
        <v>8</v>
      </c>
      <c r="AM42" s="3" t="s">
        <v>1</v>
      </c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"/>
      <c r="BE42" s="21"/>
      <c r="BF42" s="17"/>
      <c r="BG42" s="17"/>
      <c r="BH42" s="17"/>
      <c r="BI42" s="17"/>
      <c r="BJ42" s="17"/>
      <c r="BK42" s="17"/>
      <c r="BL42" s="17"/>
    </row>
    <row r="43" spans="1:64" x14ac:dyDescent="0.25">
      <c r="A43" s="452"/>
      <c r="B43" s="3" t="s">
        <v>2</v>
      </c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18"/>
      <c r="Z43" s="174"/>
      <c r="AA43" s="174"/>
      <c r="AB43" s="174"/>
      <c r="AC43" s="174"/>
      <c r="AD43" s="174"/>
      <c r="AE43" s="174"/>
      <c r="AF43" s="174"/>
      <c r="AG43" s="174"/>
      <c r="AH43" s="174"/>
      <c r="AI43" s="174"/>
      <c r="AJ43" s="174"/>
      <c r="AK43" s="174"/>
      <c r="AL43" s="452"/>
      <c r="AM43" s="3" t="s">
        <v>2</v>
      </c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64" ht="18.75" customHeight="1" x14ac:dyDescent="0.25">
      <c r="A44" s="452"/>
      <c r="B44" s="3" t="s">
        <v>92</v>
      </c>
      <c r="C44" s="8">
        <v>36000</v>
      </c>
      <c r="D44" s="8">
        <v>35000</v>
      </c>
      <c r="E44" s="8">
        <v>35000</v>
      </c>
      <c r="F44" s="8">
        <v>35000</v>
      </c>
      <c r="G44" s="8">
        <v>34000</v>
      </c>
      <c r="H44" s="8">
        <v>33000</v>
      </c>
      <c r="I44" s="8">
        <v>32000</v>
      </c>
      <c r="J44" s="8">
        <v>31000</v>
      </c>
      <c r="K44" s="8">
        <v>30000</v>
      </c>
      <c r="L44" s="8">
        <v>30500</v>
      </c>
      <c r="M44" s="8">
        <v>31000</v>
      </c>
      <c r="N44" s="8">
        <v>30000</v>
      </c>
      <c r="O44" s="8">
        <v>31000</v>
      </c>
      <c r="P44" s="8">
        <v>28000</v>
      </c>
      <c r="Q44" s="8">
        <v>28000</v>
      </c>
      <c r="R44" s="8">
        <v>28000</v>
      </c>
      <c r="S44" s="8">
        <v>29000</v>
      </c>
      <c r="T44" s="8">
        <v>29000</v>
      </c>
      <c r="U44" s="8">
        <v>29000</v>
      </c>
      <c r="V44" s="8">
        <v>29000</v>
      </c>
      <c r="W44" s="8">
        <v>30000</v>
      </c>
      <c r="X44" s="8">
        <v>30000</v>
      </c>
      <c r="Y44" s="8">
        <v>30000</v>
      </c>
      <c r="Z44" s="117">
        <v>30000</v>
      </c>
      <c r="AA44" s="117">
        <v>30000</v>
      </c>
      <c r="AB44" s="117">
        <v>30000</v>
      </c>
      <c r="AC44" s="117">
        <v>30000</v>
      </c>
      <c r="AD44" s="117">
        <v>31328</v>
      </c>
      <c r="AE44" s="117">
        <v>30344</v>
      </c>
      <c r="AF44" s="117">
        <v>30344</v>
      </c>
      <c r="AG44" s="117">
        <v>30414</v>
      </c>
      <c r="AH44" s="117">
        <v>30414</v>
      </c>
      <c r="AI44" s="117">
        <v>30414</v>
      </c>
      <c r="AJ44" s="117">
        <v>30414</v>
      </c>
      <c r="AK44" s="117">
        <v>30414</v>
      </c>
      <c r="AL44" s="452"/>
      <c r="AM44" s="3" t="s">
        <v>92</v>
      </c>
    </row>
    <row r="45" spans="1:64" x14ac:dyDescent="0.25">
      <c r="A45" s="452"/>
      <c r="B45" s="11" t="s">
        <v>93</v>
      </c>
      <c r="C45" s="25">
        <f>C42-C44</f>
        <v>0</v>
      </c>
      <c r="D45" s="25">
        <f t="shared" ref="D45:Y45" si="26">D42-D44</f>
        <v>0</v>
      </c>
      <c r="E45" s="25">
        <f t="shared" si="26"/>
        <v>0</v>
      </c>
      <c r="F45" s="25">
        <f t="shared" si="26"/>
        <v>0</v>
      </c>
      <c r="G45" s="25">
        <f t="shared" si="26"/>
        <v>0</v>
      </c>
      <c r="H45" s="25">
        <f t="shared" si="26"/>
        <v>0</v>
      </c>
      <c r="I45" s="25">
        <f t="shared" si="26"/>
        <v>0</v>
      </c>
      <c r="J45" s="25">
        <f t="shared" si="26"/>
        <v>0</v>
      </c>
      <c r="K45" s="25">
        <f t="shared" si="26"/>
        <v>0</v>
      </c>
      <c r="L45" s="25">
        <f t="shared" si="26"/>
        <v>0</v>
      </c>
      <c r="M45" s="25">
        <f t="shared" si="26"/>
        <v>0</v>
      </c>
      <c r="N45" s="25">
        <f t="shared" si="26"/>
        <v>0</v>
      </c>
      <c r="O45" s="25">
        <f t="shared" si="26"/>
        <v>0</v>
      </c>
      <c r="P45" s="25">
        <f t="shared" si="26"/>
        <v>0</v>
      </c>
      <c r="Q45" s="25">
        <f t="shared" si="26"/>
        <v>0</v>
      </c>
      <c r="R45" s="25">
        <f t="shared" si="26"/>
        <v>0</v>
      </c>
      <c r="S45" s="25">
        <f t="shared" si="26"/>
        <v>0</v>
      </c>
      <c r="T45" s="25">
        <f t="shared" si="26"/>
        <v>0</v>
      </c>
      <c r="U45" s="25">
        <f t="shared" si="26"/>
        <v>0</v>
      </c>
      <c r="V45" s="25">
        <f t="shared" si="26"/>
        <v>0</v>
      </c>
      <c r="W45" s="25">
        <f t="shared" si="26"/>
        <v>0</v>
      </c>
      <c r="X45" s="25">
        <f t="shared" si="26"/>
        <v>0</v>
      </c>
      <c r="Y45" s="25">
        <f t="shared" si="26"/>
        <v>0</v>
      </c>
      <c r="Z45" s="178">
        <f t="shared" ref="Z45:AK45" si="27">Z42-Z44</f>
        <v>0</v>
      </c>
      <c r="AA45" s="178">
        <f t="shared" si="27"/>
        <v>0</v>
      </c>
      <c r="AB45" s="178">
        <f t="shared" si="27"/>
        <v>0</v>
      </c>
      <c r="AC45" s="178">
        <f t="shared" si="27"/>
        <v>23</v>
      </c>
      <c r="AD45" s="178">
        <f t="shared" si="27"/>
        <v>-1122</v>
      </c>
      <c r="AE45" s="178">
        <f t="shared" si="27"/>
        <v>0</v>
      </c>
      <c r="AF45" s="178">
        <f t="shared" si="27"/>
        <v>-30344</v>
      </c>
      <c r="AG45" s="178">
        <f t="shared" si="27"/>
        <v>-30414</v>
      </c>
      <c r="AH45" s="178">
        <f t="shared" si="27"/>
        <v>-30414</v>
      </c>
      <c r="AI45" s="178">
        <f t="shared" si="27"/>
        <v>-30414</v>
      </c>
      <c r="AJ45" s="178">
        <f t="shared" si="27"/>
        <v>-30414</v>
      </c>
      <c r="AK45" s="178">
        <f t="shared" si="27"/>
        <v>-30414</v>
      </c>
      <c r="AL45" s="452"/>
      <c r="AM45" s="11" t="s">
        <v>93</v>
      </c>
    </row>
    <row r="46" spans="1:64" x14ac:dyDescent="0.25">
      <c r="A46" s="454"/>
      <c r="B46" s="11" t="s">
        <v>94</v>
      </c>
      <c r="C46" s="25">
        <f>C43-C44</f>
        <v>-36000</v>
      </c>
      <c r="D46" s="25">
        <f t="shared" ref="D46:Y46" si="28">D43-D44</f>
        <v>-35000</v>
      </c>
      <c r="E46" s="25">
        <f t="shared" si="28"/>
        <v>-35000</v>
      </c>
      <c r="F46" s="25">
        <f t="shared" si="28"/>
        <v>-35000</v>
      </c>
      <c r="G46" s="25">
        <f t="shared" si="28"/>
        <v>-34000</v>
      </c>
      <c r="H46" s="25">
        <f t="shared" si="28"/>
        <v>-33000</v>
      </c>
      <c r="I46" s="25">
        <f t="shared" si="28"/>
        <v>-32000</v>
      </c>
      <c r="J46" s="25">
        <f t="shared" si="28"/>
        <v>-31000</v>
      </c>
      <c r="K46" s="25">
        <f t="shared" si="28"/>
        <v>-30000</v>
      </c>
      <c r="L46" s="25">
        <f t="shared" si="28"/>
        <v>-30500</v>
      </c>
      <c r="M46" s="25">
        <f t="shared" si="28"/>
        <v>-31000</v>
      </c>
      <c r="N46" s="25">
        <f t="shared" si="28"/>
        <v>-30000</v>
      </c>
      <c r="O46" s="25">
        <f t="shared" si="28"/>
        <v>-31000</v>
      </c>
      <c r="P46" s="25">
        <f t="shared" si="28"/>
        <v>-28000</v>
      </c>
      <c r="Q46" s="25">
        <f t="shared" si="28"/>
        <v>-28000</v>
      </c>
      <c r="R46" s="25">
        <f t="shared" si="28"/>
        <v>-28000</v>
      </c>
      <c r="S46" s="25">
        <f t="shared" si="28"/>
        <v>-29000</v>
      </c>
      <c r="T46" s="25">
        <f t="shared" si="28"/>
        <v>-29000</v>
      </c>
      <c r="U46" s="25">
        <f t="shared" si="28"/>
        <v>-29000</v>
      </c>
      <c r="V46" s="25">
        <f t="shared" si="28"/>
        <v>-29000</v>
      </c>
      <c r="W46" s="25">
        <f t="shared" si="28"/>
        <v>-30000</v>
      </c>
      <c r="X46" s="25">
        <f t="shared" si="28"/>
        <v>-30000</v>
      </c>
      <c r="Y46" s="25">
        <f t="shared" si="28"/>
        <v>-30000</v>
      </c>
      <c r="Z46" s="178">
        <f t="shared" ref="Z46:AK46" si="29">Z43-Z44</f>
        <v>-30000</v>
      </c>
      <c r="AA46" s="178">
        <f t="shared" si="29"/>
        <v>-30000</v>
      </c>
      <c r="AB46" s="178">
        <f t="shared" si="29"/>
        <v>-30000</v>
      </c>
      <c r="AC46" s="178">
        <f t="shared" si="29"/>
        <v>-30000</v>
      </c>
      <c r="AD46" s="178">
        <f t="shared" si="29"/>
        <v>-31328</v>
      </c>
      <c r="AE46" s="178">
        <f t="shared" si="29"/>
        <v>-30344</v>
      </c>
      <c r="AF46" s="178">
        <f t="shared" si="29"/>
        <v>-30344</v>
      </c>
      <c r="AG46" s="178">
        <f t="shared" si="29"/>
        <v>-30414</v>
      </c>
      <c r="AH46" s="178">
        <f t="shared" si="29"/>
        <v>-30414</v>
      </c>
      <c r="AI46" s="178">
        <f t="shared" si="29"/>
        <v>-30414</v>
      </c>
      <c r="AJ46" s="178">
        <f t="shared" si="29"/>
        <v>-30414</v>
      </c>
      <c r="AK46" s="178">
        <f t="shared" si="29"/>
        <v>-30414</v>
      </c>
      <c r="AL46" s="454"/>
      <c r="AM46" s="11" t="s">
        <v>94</v>
      </c>
    </row>
    <row r="47" spans="1:64" x14ac:dyDescent="0.25">
      <c r="A47" s="34"/>
      <c r="B47" s="3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8"/>
      <c r="Z47" s="116"/>
      <c r="AA47" s="116"/>
      <c r="AB47" s="117"/>
      <c r="AC47" s="117"/>
      <c r="AD47" s="117"/>
      <c r="AE47" s="117"/>
      <c r="AF47" s="117"/>
      <c r="AG47" s="117"/>
      <c r="AH47" s="117"/>
      <c r="AI47" s="117"/>
      <c r="AJ47" s="117"/>
      <c r="AK47" s="117"/>
      <c r="AL47" s="34"/>
      <c r="AM47" s="35"/>
    </row>
    <row r="48" spans="1:64" ht="15" customHeight="1" x14ac:dyDescent="0.25">
      <c r="A48" s="452" t="s">
        <v>9</v>
      </c>
      <c r="B48" s="3" t="s">
        <v>1</v>
      </c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174"/>
      <c r="AA48" s="174"/>
      <c r="AB48" s="174"/>
      <c r="AC48" s="174"/>
      <c r="AD48" s="174"/>
      <c r="AE48" s="174"/>
      <c r="AF48" s="174"/>
      <c r="AG48" s="174"/>
      <c r="AH48" s="174"/>
      <c r="AI48" s="174"/>
      <c r="AJ48" s="174"/>
      <c r="AK48" s="174"/>
      <c r="AL48" s="452" t="s">
        <v>9</v>
      </c>
      <c r="AM48" s="3" t="s">
        <v>1</v>
      </c>
    </row>
    <row r="49" spans="1:39" x14ac:dyDescent="0.25">
      <c r="A49" s="452"/>
      <c r="B49" s="3" t="s">
        <v>2</v>
      </c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9">
        <v>1619500</v>
      </c>
      <c r="P49" s="29">
        <v>1627400</v>
      </c>
      <c r="Q49" s="23"/>
      <c r="R49" s="46">
        <v>1566400</v>
      </c>
      <c r="S49" s="46">
        <v>1625400</v>
      </c>
      <c r="T49" s="46">
        <v>1639360</v>
      </c>
      <c r="U49" s="46">
        <v>157290</v>
      </c>
      <c r="V49" s="46">
        <v>1483300</v>
      </c>
      <c r="W49" s="46">
        <v>1419000</v>
      </c>
      <c r="X49" s="46">
        <v>1178600</v>
      </c>
      <c r="Y49" s="49">
        <v>1170000</v>
      </c>
      <c r="Z49" s="127">
        <v>1162700</v>
      </c>
      <c r="AA49" s="127">
        <v>1168900</v>
      </c>
      <c r="AB49" s="165">
        <f>1188.4*1000</f>
        <v>1188400</v>
      </c>
      <c r="AC49" s="165">
        <f>1190.7*1000</f>
        <v>1190700</v>
      </c>
      <c r="AD49" s="165">
        <f>1192.6*1000</f>
        <v>1192600</v>
      </c>
      <c r="AE49" s="165">
        <f>1175.4*1000</f>
        <v>1175400</v>
      </c>
      <c r="AF49" s="165">
        <v>1158200</v>
      </c>
      <c r="AG49" s="171">
        <v>1138800</v>
      </c>
      <c r="AH49" s="171">
        <v>1139800</v>
      </c>
      <c r="AI49" s="189"/>
      <c r="AJ49" s="189"/>
      <c r="AK49" s="189"/>
      <c r="AL49" s="452"/>
      <c r="AM49" s="3" t="s">
        <v>2</v>
      </c>
    </row>
    <row r="50" spans="1:39" x14ac:dyDescent="0.25">
      <c r="A50" s="452"/>
      <c r="B50" s="3" t="s">
        <v>92</v>
      </c>
      <c r="C50" s="29">
        <v>3509748.9</v>
      </c>
      <c r="D50" s="29">
        <v>3002059.9</v>
      </c>
      <c r="E50" s="29">
        <v>2429654.5</v>
      </c>
      <c r="F50" s="29">
        <v>2054745.6999999997</v>
      </c>
      <c r="G50" s="29">
        <v>2006766.2999999998</v>
      </c>
      <c r="H50" s="29">
        <v>1942049.9</v>
      </c>
      <c r="I50" s="29">
        <v>1950418.4</v>
      </c>
      <c r="J50" s="29">
        <v>1916386.4999999998</v>
      </c>
      <c r="K50" s="29">
        <v>1804806.4999999998</v>
      </c>
      <c r="L50" s="29">
        <v>1753479.7</v>
      </c>
      <c r="M50" s="29">
        <v>1702152.9</v>
      </c>
      <c r="N50" s="29">
        <v>1601172.9999999998</v>
      </c>
      <c r="O50" s="29">
        <v>1562119.9999999998</v>
      </c>
      <c r="P50" s="29">
        <v>1605636.2</v>
      </c>
      <c r="Q50" s="29">
        <v>1616236.2999999998</v>
      </c>
      <c r="R50" s="29">
        <v>1566397</v>
      </c>
      <c r="S50" s="29">
        <v>1625681</v>
      </c>
      <c r="T50" s="29">
        <v>1639362</v>
      </c>
      <c r="U50" s="29">
        <v>1572927</v>
      </c>
      <c r="V50" s="29">
        <v>1483281</v>
      </c>
      <c r="W50" s="29">
        <v>1419027</v>
      </c>
      <c r="X50" s="29">
        <v>1178565</v>
      </c>
      <c r="Y50" s="8">
        <v>1154042</v>
      </c>
      <c r="Z50" s="180">
        <v>1146938</v>
      </c>
      <c r="AA50" s="180">
        <v>1154816</v>
      </c>
      <c r="AB50" s="180">
        <v>1173220</v>
      </c>
      <c r="AC50" s="180">
        <v>1176145</v>
      </c>
      <c r="AD50" s="180">
        <v>1201132</v>
      </c>
      <c r="AE50" s="180">
        <v>1160136</v>
      </c>
      <c r="AF50" s="180">
        <v>1143236</v>
      </c>
      <c r="AG50" s="391">
        <v>1124809</v>
      </c>
      <c r="AH50" s="391">
        <v>1106918</v>
      </c>
      <c r="AI50" s="391">
        <v>1067758</v>
      </c>
      <c r="AJ50" s="391">
        <v>1062444</v>
      </c>
      <c r="AK50" s="391">
        <v>1044556</v>
      </c>
      <c r="AL50" s="452"/>
      <c r="AM50" s="3" t="s">
        <v>89</v>
      </c>
    </row>
    <row r="51" spans="1:39" x14ac:dyDescent="0.25">
      <c r="A51" s="452"/>
      <c r="B51" s="11" t="s">
        <v>93</v>
      </c>
      <c r="C51" s="25">
        <f>C48-C50</f>
        <v>-3509748.9</v>
      </c>
      <c r="D51" s="25">
        <f t="shared" ref="D51:Y51" si="30">D48-D50</f>
        <v>-3002059.9</v>
      </c>
      <c r="E51" s="25">
        <f t="shared" si="30"/>
        <v>-2429654.5</v>
      </c>
      <c r="F51" s="25">
        <f t="shared" si="30"/>
        <v>-2054745.6999999997</v>
      </c>
      <c r="G51" s="25">
        <f t="shared" si="30"/>
        <v>-2006766.2999999998</v>
      </c>
      <c r="H51" s="25">
        <f t="shared" si="30"/>
        <v>-1942049.9</v>
      </c>
      <c r="I51" s="25">
        <f t="shared" si="30"/>
        <v>-1950418.4</v>
      </c>
      <c r="J51" s="25">
        <f t="shared" si="30"/>
        <v>-1916386.4999999998</v>
      </c>
      <c r="K51" s="25">
        <f t="shared" si="30"/>
        <v>-1804806.4999999998</v>
      </c>
      <c r="L51" s="25">
        <f t="shared" si="30"/>
        <v>-1753479.7</v>
      </c>
      <c r="M51" s="25">
        <f t="shared" si="30"/>
        <v>-1702152.9</v>
      </c>
      <c r="N51" s="25">
        <f t="shared" si="30"/>
        <v>-1601172.9999999998</v>
      </c>
      <c r="O51" s="25">
        <f t="shared" si="30"/>
        <v>-1562119.9999999998</v>
      </c>
      <c r="P51" s="25">
        <f t="shared" si="30"/>
        <v>-1605636.2</v>
      </c>
      <c r="Q51" s="25">
        <f t="shared" si="30"/>
        <v>-1616236.2999999998</v>
      </c>
      <c r="R51" s="25">
        <f t="shared" si="30"/>
        <v>-1566397</v>
      </c>
      <c r="S51" s="25">
        <f t="shared" si="30"/>
        <v>-1625681</v>
      </c>
      <c r="T51" s="25">
        <f t="shared" si="30"/>
        <v>-1639362</v>
      </c>
      <c r="U51" s="25">
        <f t="shared" si="30"/>
        <v>-1572927</v>
      </c>
      <c r="V51" s="25">
        <f t="shared" si="30"/>
        <v>-1483281</v>
      </c>
      <c r="W51" s="25">
        <f t="shared" si="30"/>
        <v>-1419027</v>
      </c>
      <c r="X51" s="25">
        <f t="shared" si="30"/>
        <v>-1178565</v>
      </c>
      <c r="Y51" s="25">
        <f t="shared" si="30"/>
        <v>-1154042</v>
      </c>
      <c r="Z51" s="177">
        <f t="shared" ref="Z51:AK51" si="31">Z48-Z50</f>
        <v>-1146938</v>
      </c>
      <c r="AA51" s="177">
        <f t="shared" si="31"/>
        <v>-1154816</v>
      </c>
      <c r="AB51" s="177">
        <f t="shared" si="31"/>
        <v>-1173220</v>
      </c>
      <c r="AC51" s="177">
        <f t="shared" si="31"/>
        <v>-1176145</v>
      </c>
      <c r="AD51" s="177">
        <f t="shared" si="31"/>
        <v>-1201132</v>
      </c>
      <c r="AE51" s="177">
        <f t="shared" si="31"/>
        <v>-1160136</v>
      </c>
      <c r="AF51" s="177">
        <f t="shared" si="31"/>
        <v>-1143236</v>
      </c>
      <c r="AG51" s="177">
        <f t="shared" si="31"/>
        <v>-1124809</v>
      </c>
      <c r="AH51" s="177">
        <f t="shared" si="31"/>
        <v>-1106918</v>
      </c>
      <c r="AI51" s="177">
        <f t="shared" si="31"/>
        <v>-1067758</v>
      </c>
      <c r="AJ51" s="177">
        <f t="shared" si="31"/>
        <v>-1062444</v>
      </c>
      <c r="AK51" s="177">
        <f t="shared" si="31"/>
        <v>-1044556</v>
      </c>
      <c r="AL51" s="452"/>
      <c r="AM51" s="11" t="s">
        <v>90</v>
      </c>
    </row>
    <row r="52" spans="1:39" x14ac:dyDescent="0.25">
      <c r="A52" s="454"/>
      <c r="B52" s="11" t="s">
        <v>94</v>
      </c>
      <c r="C52" s="25">
        <f>C49-C50</f>
        <v>-3509748.9</v>
      </c>
      <c r="D52" s="25">
        <f t="shared" ref="D52:Y52" si="32">D49-D50</f>
        <v>-3002059.9</v>
      </c>
      <c r="E52" s="25">
        <f t="shared" si="32"/>
        <v>-2429654.5</v>
      </c>
      <c r="F52" s="25">
        <f t="shared" si="32"/>
        <v>-2054745.6999999997</v>
      </c>
      <c r="G52" s="25">
        <f t="shared" si="32"/>
        <v>-2006766.2999999998</v>
      </c>
      <c r="H52" s="25">
        <f t="shared" si="32"/>
        <v>-1942049.9</v>
      </c>
      <c r="I52" s="25">
        <f t="shared" si="32"/>
        <v>-1950418.4</v>
      </c>
      <c r="J52" s="25">
        <f t="shared" si="32"/>
        <v>-1916386.4999999998</v>
      </c>
      <c r="K52" s="25">
        <f t="shared" si="32"/>
        <v>-1804806.4999999998</v>
      </c>
      <c r="L52" s="25">
        <f t="shared" si="32"/>
        <v>-1753479.7</v>
      </c>
      <c r="M52" s="25">
        <f t="shared" si="32"/>
        <v>-1702152.9</v>
      </c>
      <c r="N52" s="25">
        <f t="shared" si="32"/>
        <v>-1601172.9999999998</v>
      </c>
      <c r="O52" s="25">
        <f t="shared" si="32"/>
        <v>57380.000000000233</v>
      </c>
      <c r="P52" s="25">
        <f t="shared" si="32"/>
        <v>21763.800000000047</v>
      </c>
      <c r="Q52" s="25">
        <f t="shared" si="32"/>
        <v>-1616236.2999999998</v>
      </c>
      <c r="R52" s="25">
        <f t="shared" si="32"/>
        <v>3</v>
      </c>
      <c r="S52" s="25">
        <f t="shared" si="32"/>
        <v>-281</v>
      </c>
      <c r="T52" s="25">
        <f t="shared" si="32"/>
        <v>-2</v>
      </c>
      <c r="U52" s="25">
        <f t="shared" si="32"/>
        <v>-1415637</v>
      </c>
      <c r="V52" s="25">
        <f t="shared" si="32"/>
        <v>19</v>
      </c>
      <c r="W52" s="25">
        <f t="shared" si="32"/>
        <v>-27</v>
      </c>
      <c r="X52" s="25">
        <f t="shared" si="32"/>
        <v>35</v>
      </c>
      <c r="Y52" s="25">
        <f t="shared" si="32"/>
        <v>15958</v>
      </c>
      <c r="Z52" s="177">
        <f t="shared" ref="Z52:AK52" si="33">Z49-Z50</f>
        <v>15762</v>
      </c>
      <c r="AA52" s="177">
        <f t="shared" si="33"/>
        <v>14084</v>
      </c>
      <c r="AB52" s="177">
        <f t="shared" si="33"/>
        <v>15180</v>
      </c>
      <c r="AC52" s="177">
        <f t="shared" si="33"/>
        <v>14555</v>
      </c>
      <c r="AD52" s="177">
        <f t="shared" si="33"/>
        <v>-8532</v>
      </c>
      <c r="AE52" s="177">
        <f t="shared" si="33"/>
        <v>15264</v>
      </c>
      <c r="AF52" s="177">
        <f t="shared" si="33"/>
        <v>14964</v>
      </c>
      <c r="AG52" s="177">
        <f t="shared" si="33"/>
        <v>13991</v>
      </c>
      <c r="AH52" s="177">
        <f t="shared" si="33"/>
        <v>32882</v>
      </c>
      <c r="AI52" s="177">
        <f t="shared" si="33"/>
        <v>-1067758</v>
      </c>
      <c r="AJ52" s="177">
        <f t="shared" si="33"/>
        <v>-1062444</v>
      </c>
      <c r="AK52" s="177">
        <f t="shared" si="33"/>
        <v>-1044556</v>
      </c>
      <c r="AL52" s="454"/>
      <c r="AM52" s="11" t="s">
        <v>91</v>
      </c>
    </row>
    <row r="53" spans="1:39" s="21" customFormat="1" x14ac:dyDescent="0.25">
      <c r="A53" s="192"/>
      <c r="B53" s="35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193"/>
      <c r="AA53" s="193"/>
      <c r="AB53" s="193"/>
      <c r="AC53" s="193"/>
      <c r="AD53" s="193"/>
      <c r="AE53" s="193"/>
      <c r="AF53" s="193"/>
      <c r="AG53" s="193"/>
      <c r="AH53" s="193"/>
      <c r="AI53" s="193"/>
      <c r="AJ53" s="193"/>
      <c r="AK53" s="193"/>
      <c r="AL53" s="192"/>
      <c r="AM53" s="35"/>
    </row>
    <row r="54" spans="1:39" x14ac:dyDescent="0.25">
      <c r="A54" s="185"/>
      <c r="B54" s="35" t="s">
        <v>1</v>
      </c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194"/>
      <c r="AA54" s="194"/>
      <c r="AB54" s="193">
        <v>1700</v>
      </c>
      <c r="AC54" s="193">
        <v>1729</v>
      </c>
      <c r="AD54" s="193">
        <v>1826000</v>
      </c>
      <c r="AE54" s="193">
        <v>182000</v>
      </c>
      <c r="AF54" s="421">
        <v>259392</v>
      </c>
      <c r="AG54" s="421">
        <v>275094</v>
      </c>
      <c r="AH54" s="421">
        <v>253566</v>
      </c>
      <c r="AI54" s="421">
        <v>236554</v>
      </c>
      <c r="AJ54" s="421">
        <v>201269</v>
      </c>
      <c r="AK54" s="421">
        <v>200402</v>
      </c>
      <c r="AL54" s="186"/>
      <c r="AM54" s="35" t="s">
        <v>1</v>
      </c>
    </row>
    <row r="55" spans="1:39" x14ac:dyDescent="0.25">
      <c r="A55" s="185" t="s">
        <v>79</v>
      </c>
      <c r="B55" s="35" t="s">
        <v>2</v>
      </c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194"/>
      <c r="AA55" s="194"/>
      <c r="AB55" s="194"/>
      <c r="AC55" s="194"/>
      <c r="AD55" s="194"/>
      <c r="AE55" s="194"/>
      <c r="AF55" s="194"/>
      <c r="AG55" s="194"/>
      <c r="AH55" s="194"/>
      <c r="AI55" s="194"/>
      <c r="AJ55" s="194"/>
      <c r="AK55" s="194"/>
      <c r="AL55" s="185" t="s">
        <v>79</v>
      </c>
      <c r="AM55" s="35" t="s">
        <v>2</v>
      </c>
    </row>
    <row r="56" spans="1:39" x14ac:dyDescent="0.25">
      <c r="A56" s="185"/>
      <c r="B56" s="35" t="s">
        <v>92</v>
      </c>
      <c r="C56" s="29">
        <v>1000000</v>
      </c>
      <c r="D56" s="29">
        <v>1330000</v>
      </c>
      <c r="E56" s="29">
        <v>1000000</v>
      </c>
      <c r="F56" s="29">
        <v>640000</v>
      </c>
      <c r="G56" s="29">
        <v>771000</v>
      </c>
      <c r="H56" s="29">
        <v>800000</v>
      </c>
      <c r="I56" s="29">
        <v>1000000</v>
      </c>
      <c r="J56" s="29">
        <v>1000000</v>
      </c>
      <c r="K56" s="29">
        <v>1000000</v>
      </c>
      <c r="L56" s="29">
        <v>1200000</v>
      </c>
      <c r="M56" s="29">
        <v>1300000</v>
      </c>
      <c r="N56" s="29">
        <v>1300000</v>
      </c>
      <c r="O56" s="29">
        <v>539951</v>
      </c>
      <c r="P56" s="29">
        <v>551625</v>
      </c>
      <c r="Q56" s="29">
        <v>563595</v>
      </c>
      <c r="R56" s="29">
        <v>575735</v>
      </c>
      <c r="S56" s="29">
        <v>569602</v>
      </c>
      <c r="T56" s="29">
        <v>478932</v>
      </c>
      <c r="U56" s="29">
        <v>494830</v>
      </c>
      <c r="V56" s="29">
        <v>457774</v>
      </c>
      <c r="W56" s="29">
        <v>455563</v>
      </c>
      <c r="X56" s="29">
        <v>267995</v>
      </c>
      <c r="Y56" s="29">
        <v>276451</v>
      </c>
      <c r="Z56" s="193">
        <v>297308</v>
      </c>
      <c r="AA56" s="193">
        <v>290340</v>
      </c>
      <c r="AB56" s="193">
        <v>287883</v>
      </c>
      <c r="AC56" s="193">
        <v>292339</v>
      </c>
      <c r="AD56" s="193">
        <v>297436</v>
      </c>
      <c r="AE56" s="193">
        <v>278329</v>
      </c>
      <c r="AF56" s="193">
        <v>259392</v>
      </c>
      <c r="AG56" s="193">
        <v>275094</v>
      </c>
      <c r="AH56" s="193">
        <v>253566</v>
      </c>
      <c r="AI56" s="193">
        <v>236554</v>
      </c>
      <c r="AJ56" s="193">
        <v>201269</v>
      </c>
      <c r="AK56" s="193">
        <v>200402</v>
      </c>
      <c r="AL56" s="185"/>
      <c r="AM56" s="35" t="s">
        <v>89</v>
      </c>
    </row>
    <row r="57" spans="1:39" x14ac:dyDescent="0.25">
      <c r="A57" s="185"/>
      <c r="B57" s="11" t="s">
        <v>93</v>
      </c>
      <c r="C57" s="25">
        <f>C54-C56</f>
        <v>-1000000</v>
      </c>
      <c r="D57" s="25">
        <f t="shared" ref="D57:AK57" si="34">D54-D56</f>
        <v>-1330000</v>
      </c>
      <c r="E57" s="25">
        <f t="shared" si="34"/>
        <v>-1000000</v>
      </c>
      <c r="F57" s="25">
        <f t="shared" si="34"/>
        <v>-640000</v>
      </c>
      <c r="G57" s="25">
        <f t="shared" si="34"/>
        <v>-771000</v>
      </c>
      <c r="H57" s="25">
        <f t="shared" si="34"/>
        <v>-800000</v>
      </c>
      <c r="I57" s="25">
        <f t="shared" si="34"/>
        <v>-1000000</v>
      </c>
      <c r="J57" s="25">
        <f t="shared" si="34"/>
        <v>-1000000</v>
      </c>
      <c r="K57" s="25">
        <f t="shared" si="34"/>
        <v>-1000000</v>
      </c>
      <c r="L57" s="25">
        <f t="shared" si="34"/>
        <v>-1200000</v>
      </c>
      <c r="M57" s="25">
        <f t="shared" si="34"/>
        <v>-1300000</v>
      </c>
      <c r="N57" s="25">
        <f t="shared" si="34"/>
        <v>-1300000</v>
      </c>
      <c r="O57" s="25">
        <f t="shared" si="34"/>
        <v>-539951</v>
      </c>
      <c r="P57" s="25">
        <f t="shared" si="34"/>
        <v>-551625</v>
      </c>
      <c r="Q57" s="25">
        <f t="shared" si="34"/>
        <v>-563595</v>
      </c>
      <c r="R57" s="25">
        <f t="shared" si="34"/>
        <v>-575735</v>
      </c>
      <c r="S57" s="25">
        <f t="shared" si="34"/>
        <v>-569602</v>
      </c>
      <c r="T57" s="25">
        <f t="shared" si="34"/>
        <v>-478932</v>
      </c>
      <c r="U57" s="25">
        <f t="shared" si="34"/>
        <v>-494830</v>
      </c>
      <c r="V57" s="25">
        <f t="shared" si="34"/>
        <v>-457774</v>
      </c>
      <c r="W57" s="25">
        <f t="shared" si="34"/>
        <v>-455563</v>
      </c>
      <c r="X57" s="25">
        <f t="shared" si="34"/>
        <v>-267995</v>
      </c>
      <c r="Y57" s="25">
        <f t="shared" si="34"/>
        <v>-276451</v>
      </c>
      <c r="Z57" s="25">
        <f t="shared" si="34"/>
        <v>-297308</v>
      </c>
      <c r="AA57" s="25">
        <f t="shared" si="34"/>
        <v>-290340</v>
      </c>
      <c r="AB57" s="12">
        <f t="shared" si="34"/>
        <v>-286183</v>
      </c>
      <c r="AC57" s="12">
        <f t="shared" si="34"/>
        <v>-290610</v>
      </c>
      <c r="AD57" s="12">
        <f t="shared" si="34"/>
        <v>1528564</v>
      </c>
      <c r="AE57" s="12">
        <f t="shared" si="34"/>
        <v>-96329</v>
      </c>
      <c r="AF57" s="12">
        <f t="shared" si="34"/>
        <v>0</v>
      </c>
      <c r="AG57" s="12">
        <f t="shared" si="34"/>
        <v>0</v>
      </c>
      <c r="AH57" s="12">
        <f t="shared" si="34"/>
        <v>0</v>
      </c>
      <c r="AI57" s="12">
        <f t="shared" si="34"/>
        <v>0</v>
      </c>
      <c r="AJ57" s="12">
        <f t="shared" si="34"/>
        <v>0</v>
      </c>
      <c r="AK57" s="12">
        <f t="shared" si="34"/>
        <v>0</v>
      </c>
      <c r="AL57" s="185"/>
      <c r="AM57" s="11" t="s">
        <v>90</v>
      </c>
    </row>
    <row r="58" spans="1:39" x14ac:dyDescent="0.25">
      <c r="A58" s="185"/>
      <c r="B58" s="11" t="s">
        <v>94</v>
      </c>
      <c r="C58" s="25">
        <f>C55-C56</f>
        <v>-1000000</v>
      </c>
      <c r="D58" s="25">
        <f t="shared" ref="D58:AK58" si="35">D55-D56</f>
        <v>-1330000</v>
      </c>
      <c r="E58" s="25">
        <f t="shared" si="35"/>
        <v>-1000000</v>
      </c>
      <c r="F58" s="25">
        <f t="shared" si="35"/>
        <v>-640000</v>
      </c>
      <c r="G58" s="25">
        <f t="shared" si="35"/>
        <v>-771000</v>
      </c>
      <c r="H58" s="25">
        <f t="shared" si="35"/>
        <v>-800000</v>
      </c>
      <c r="I58" s="25">
        <f t="shared" si="35"/>
        <v>-1000000</v>
      </c>
      <c r="J58" s="25">
        <f t="shared" si="35"/>
        <v>-1000000</v>
      </c>
      <c r="K58" s="25">
        <f t="shared" si="35"/>
        <v>-1000000</v>
      </c>
      <c r="L58" s="25">
        <f t="shared" si="35"/>
        <v>-1200000</v>
      </c>
      <c r="M58" s="25">
        <f t="shared" si="35"/>
        <v>-1300000</v>
      </c>
      <c r="N58" s="25">
        <f t="shared" si="35"/>
        <v>-1300000</v>
      </c>
      <c r="O58" s="25">
        <f t="shared" si="35"/>
        <v>-539951</v>
      </c>
      <c r="P58" s="25">
        <f t="shared" si="35"/>
        <v>-551625</v>
      </c>
      <c r="Q58" s="25">
        <f t="shared" si="35"/>
        <v>-563595</v>
      </c>
      <c r="R58" s="25">
        <f t="shared" si="35"/>
        <v>-575735</v>
      </c>
      <c r="S58" s="25">
        <f t="shared" si="35"/>
        <v>-569602</v>
      </c>
      <c r="T58" s="25">
        <f t="shared" si="35"/>
        <v>-478932</v>
      </c>
      <c r="U58" s="25">
        <f t="shared" si="35"/>
        <v>-494830</v>
      </c>
      <c r="V58" s="25">
        <f t="shared" si="35"/>
        <v>-457774</v>
      </c>
      <c r="W58" s="25">
        <f t="shared" si="35"/>
        <v>-455563</v>
      </c>
      <c r="X58" s="25">
        <f t="shared" si="35"/>
        <v>-267995</v>
      </c>
      <c r="Y58" s="25">
        <f t="shared" si="35"/>
        <v>-276451</v>
      </c>
      <c r="Z58" s="25">
        <f t="shared" si="35"/>
        <v>-297308</v>
      </c>
      <c r="AA58" s="25">
        <f t="shared" si="35"/>
        <v>-290340</v>
      </c>
      <c r="AB58" s="12">
        <f t="shared" si="35"/>
        <v>-287883</v>
      </c>
      <c r="AC58" s="12">
        <f t="shared" si="35"/>
        <v>-292339</v>
      </c>
      <c r="AD58" s="12">
        <f t="shared" si="35"/>
        <v>-297436</v>
      </c>
      <c r="AE58" s="12">
        <f t="shared" si="35"/>
        <v>-278329</v>
      </c>
      <c r="AF58" s="12">
        <f t="shared" si="35"/>
        <v>-259392</v>
      </c>
      <c r="AG58" s="12">
        <f t="shared" si="35"/>
        <v>-275094</v>
      </c>
      <c r="AH58" s="12">
        <f t="shared" si="35"/>
        <v>-253566</v>
      </c>
      <c r="AI58" s="12">
        <f t="shared" si="35"/>
        <v>-236554</v>
      </c>
      <c r="AJ58" s="12">
        <f t="shared" si="35"/>
        <v>-201269</v>
      </c>
      <c r="AK58" s="12">
        <f t="shared" si="35"/>
        <v>-200402</v>
      </c>
      <c r="AL58" s="185"/>
      <c r="AM58" s="11" t="s">
        <v>91</v>
      </c>
    </row>
    <row r="59" spans="1:39" s="75" customFormat="1" x14ac:dyDescent="0.25">
      <c r="A59" s="72"/>
      <c r="B59" s="71"/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4"/>
      <c r="AA59" s="74"/>
      <c r="AB59" s="74"/>
      <c r="AC59" s="74"/>
      <c r="AD59" s="74"/>
      <c r="AE59" s="74"/>
      <c r="AF59" s="74"/>
      <c r="AG59" s="74"/>
      <c r="AH59" s="74"/>
      <c r="AI59" s="74"/>
      <c r="AJ59" s="74"/>
      <c r="AK59" s="74"/>
      <c r="AL59" s="72"/>
      <c r="AM59" s="71"/>
    </row>
    <row r="60" spans="1:39" x14ac:dyDescent="0.25">
      <c r="AK60" s="416"/>
    </row>
    <row r="61" spans="1:39" x14ac:dyDescent="0.25">
      <c r="A61" s="36" t="s">
        <v>44</v>
      </c>
    </row>
    <row r="63" spans="1:39" ht="28.5" customHeight="1" x14ac:dyDescent="0.25">
      <c r="A63" s="36" t="s">
        <v>98</v>
      </c>
      <c r="B63" s="457" t="s">
        <v>10</v>
      </c>
      <c r="C63" s="461"/>
      <c r="D63" s="461"/>
      <c r="E63" s="461"/>
      <c r="F63" s="461"/>
      <c r="G63" s="461"/>
      <c r="H63" s="461"/>
      <c r="I63" s="461"/>
      <c r="J63" s="461"/>
      <c r="K63" s="461"/>
      <c r="L63" s="461"/>
      <c r="M63" s="461"/>
      <c r="N63" s="461"/>
      <c r="O63" s="461"/>
      <c r="P63" s="461"/>
      <c r="Q63" s="461"/>
      <c r="R63" s="461"/>
      <c r="S63" s="461"/>
      <c r="T63" s="461"/>
      <c r="U63" s="461"/>
      <c r="V63" s="461"/>
      <c r="W63" s="461"/>
      <c r="X63" s="461"/>
    </row>
    <row r="64" spans="1:39" ht="56.25" customHeight="1" x14ac:dyDescent="0.25">
      <c r="A64" s="24" t="s">
        <v>99</v>
      </c>
      <c r="B64" s="457" t="s">
        <v>102</v>
      </c>
      <c r="C64" s="458"/>
      <c r="D64" s="458"/>
      <c r="E64" s="458"/>
      <c r="F64" s="458"/>
      <c r="G64" s="458"/>
      <c r="H64" s="458"/>
      <c r="I64" s="458"/>
      <c r="J64" s="458"/>
      <c r="K64" s="458"/>
      <c r="L64" s="458"/>
      <c r="M64" s="458"/>
      <c r="N64" s="458"/>
      <c r="O64" s="458"/>
      <c r="P64" s="458"/>
      <c r="Q64" s="458"/>
      <c r="R64" s="458"/>
      <c r="S64" s="458"/>
      <c r="T64" s="458"/>
      <c r="U64" s="458"/>
      <c r="V64" s="458"/>
      <c r="W64" s="458"/>
      <c r="X64" s="458"/>
    </row>
    <row r="67" spans="3:3" x14ac:dyDescent="0.25">
      <c r="C67" s="3"/>
    </row>
    <row r="68" spans="3:3" x14ac:dyDescent="0.25">
      <c r="C68" s="3"/>
    </row>
    <row r="69" spans="3:3" x14ac:dyDescent="0.25">
      <c r="C69" s="3"/>
    </row>
    <row r="70" spans="3:3" x14ac:dyDescent="0.25">
      <c r="C70" s="71"/>
    </row>
    <row r="71" spans="3:3" x14ac:dyDescent="0.25">
      <c r="C71" s="71"/>
    </row>
  </sheetData>
  <mergeCells count="19">
    <mergeCell ref="B64:X64"/>
    <mergeCell ref="A23:A28"/>
    <mergeCell ref="AL23:AL28"/>
    <mergeCell ref="A30:A34"/>
    <mergeCell ref="AL30:AL34"/>
    <mergeCell ref="A36:A40"/>
    <mergeCell ref="AL36:AL40"/>
    <mergeCell ref="A42:A46"/>
    <mergeCell ref="AL42:AL46"/>
    <mergeCell ref="A48:A52"/>
    <mergeCell ref="AL48:AL52"/>
    <mergeCell ref="B63:X63"/>
    <mergeCell ref="A16:A21"/>
    <mergeCell ref="AL16:AL21"/>
    <mergeCell ref="B1:L1"/>
    <mergeCell ref="A4:A8"/>
    <mergeCell ref="AL4:AL8"/>
    <mergeCell ref="A10:A14"/>
    <mergeCell ref="AL10:AL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Q457"/>
  <sheetViews>
    <sheetView topLeftCell="A82" workbookViewId="0">
      <selection activeCell="M61" sqref="M61"/>
    </sheetView>
  </sheetViews>
  <sheetFormatPr defaultRowHeight="15" x14ac:dyDescent="0.25"/>
  <cols>
    <col min="1" max="1" width="15.28515625" customWidth="1"/>
    <col min="2" max="2" width="13.140625" customWidth="1"/>
    <col min="3" max="3" width="14.7109375" customWidth="1"/>
    <col min="4" max="4" width="13.42578125" customWidth="1"/>
    <col min="5" max="5" width="14.7109375" customWidth="1"/>
    <col min="6" max="6" width="13.5703125" customWidth="1"/>
    <col min="7" max="7" width="16.28515625" customWidth="1"/>
    <col min="8" max="8" width="13.5703125" customWidth="1"/>
    <col min="9" max="15" width="12.42578125" style="21" customWidth="1"/>
    <col min="16" max="16" width="11.5703125" customWidth="1"/>
    <col min="17" max="17" width="12.7109375" customWidth="1"/>
    <col min="18" max="18" width="10.7109375" customWidth="1"/>
    <col min="20" max="20" width="17.140625" customWidth="1"/>
    <col min="21" max="21" width="11.85546875" customWidth="1"/>
    <col min="22" max="22" width="12.5703125" style="21" customWidth="1"/>
    <col min="23" max="23" width="14.5703125" style="21" customWidth="1"/>
    <col min="24" max="24" width="13.85546875" customWidth="1"/>
    <col min="25" max="26" width="13" customWidth="1"/>
    <col min="28" max="28" width="19.28515625" customWidth="1"/>
    <col min="29" max="29" width="14" customWidth="1"/>
    <col min="30" max="31" width="13.42578125" customWidth="1"/>
    <col min="32" max="32" width="11.5703125" customWidth="1"/>
    <col min="33" max="33" width="11.85546875" customWidth="1"/>
    <col min="34" max="34" width="11.42578125" customWidth="1"/>
  </cols>
  <sheetData>
    <row r="1" spans="1:36" x14ac:dyDescent="0.25">
      <c r="G1" s="476"/>
      <c r="H1" s="477"/>
      <c r="I1" s="478"/>
      <c r="J1" s="478"/>
      <c r="K1" s="478"/>
      <c r="L1" s="478"/>
      <c r="M1" s="478"/>
      <c r="N1" s="478"/>
      <c r="O1" s="478"/>
    </row>
    <row r="2" spans="1:36" ht="15.75" x14ac:dyDescent="0.25">
      <c r="A2" s="467" t="s">
        <v>45</v>
      </c>
      <c r="B2" s="468"/>
      <c r="C2" s="468"/>
      <c r="D2" s="468"/>
      <c r="E2" s="468"/>
      <c r="F2" s="469"/>
      <c r="G2" s="479"/>
      <c r="H2" s="480"/>
      <c r="I2" s="480"/>
      <c r="J2" s="480"/>
      <c r="K2" s="480"/>
      <c r="L2" s="480"/>
      <c r="M2" s="480"/>
      <c r="N2" s="480"/>
      <c r="O2" s="480"/>
      <c r="P2" s="480"/>
      <c r="Q2" s="480"/>
      <c r="T2" s="213" t="s">
        <v>47</v>
      </c>
      <c r="U2" s="481" t="s">
        <v>46</v>
      </c>
      <c r="V2" s="482"/>
      <c r="W2" s="482"/>
      <c r="X2" s="482"/>
      <c r="Y2" s="482"/>
      <c r="Z2" s="144"/>
      <c r="AA2" s="69"/>
    </row>
    <row r="3" spans="1:36" x14ac:dyDescent="0.25">
      <c r="H3" s="202"/>
      <c r="I3" s="163"/>
      <c r="J3" s="163"/>
      <c r="K3" s="163"/>
      <c r="L3" s="163"/>
      <c r="M3" s="163"/>
      <c r="N3" s="163"/>
      <c r="O3" s="163"/>
      <c r="Q3" s="60"/>
      <c r="T3" s="214">
        <v>2022</v>
      </c>
      <c r="U3" s="215"/>
      <c r="V3" s="216"/>
      <c r="W3" s="217"/>
      <c r="X3" s="215"/>
      <c r="Y3" s="218"/>
      <c r="Z3" s="70"/>
      <c r="AB3" s="221" t="s">
        <v>48</v>
      </c>
      <c r="AC3" s="215"/>
      <c r="AD3" s="215"/>
      <c r="AE3" s="215"/>
      <c r="AF3" s="215"/>
      <c r="AG3" s="215"/>
      <c r="AH3" s="215"/>
    </row>
    <row r="4" spans="1:36" ht="17.25" customHeight="1" x14ac:dyDescent="0.25">
      <c r="A4" s="470" t="s">
        <v>49</v>
      </c>
      <c r="B4" s="471"/>
      <c r="C4" s="471"/>
      <c r="D4" s="471"/>
      <c r="E4" s="471"/>
      <c r="F4" s="471"/>
      <c r="G4" s="471"/>
      <c r="H4" s="472"/>
      <c r="I4" s="199"/>
      <c r="J4" s="284"/>
      <c r="K4" s="284"/>
      <c r="L4" s="284"/>
      <c r="M4" s="284"/>
      <c r="N4" s="284"/>
      <c r="O4" s="199"/>
      <c r="P4" s="199"/>
      <c r="Q4" s="199"/>
      <c r="T4" s="215"/>
      <c r="U4" s="473" t="s">
        <v>49</v>
      </c>
      <c r="V4" s="474"/>
      <c r="W4" s="474"/>
      <c r="X4" s="475"/>
      <c r="Y4" s="483"/>
      <c r="Z4" s="162"/>
      <c r="AB4" s="232">
        <v>2022</v>
      </c>
      <c r="AC4" s="473" t="s">
        <v>49</v>
      </c>
      <c r="AD4" s="474"/>
      <c r="AE4" s="474"/>
      <c r="AF4" s="475"/>
      <c r="AG4" s="475"/>
      <c r="AH4" s="215"/>
    </row>
    <row r="5" spans="1:36" ht="42.75" customHeight="1" x14ac:dyDescent="0.25">
      <c r="A5" s="490" t="s">
        <v>50</v>
      </c>
      <c r="B5" s="491"/>
      <c r="C5" s="492"/>
      <c r="D5" s="484" t="s">
        <v>51</v>
      </c>
      <c r="E5" s="485"/>
      <c r="F5" s="484" t="s">
        <v>52</v>
      </c>
      <c r="G5" s="485"/>
      <c r="H5" s="488" t="s">
        <v>80</v>
      </c>
      <c r="I5" s="289"/>
      <c r="J5" s="289"/>
      <c r="K5" s="289"/>
      <c r="L5" s="289"/>
      <c r="M5" s="289"/>
      <c r="N5" s="289"/>
      <c r="O5" s="289"/>
      <c r="P5" s="290"/>
      <c r="Q5" s="291"/>
      <c r="R5" s="154"/>
      <c r="S5" s="154"/>
      <c r="T5" s="292"/>
      <c r="U5" s="273" t="s">
        <v>50</v>
      </c>
      <c r="V5" s="273" t="s">
        <v>51</v>
      </c>
      <c r="W5" s="273" t="s">
        <v>52</v>
      </c>
      <c r="X5" s="274" t="s">
        <v>78</v>
      </c>
      <c r="Y5" s="293"/>
      <c r="Z5" s="154"/>
      <c r="AA5" s="154"/>
      <c r="AB5" s="292"/>
      <c r="AC5" s="273" t="s">
        <v>50</v>
      </c>
      <c r="AD5" s="273" t="s">
        <v>51</v>
      </c>
      <c r="AE5" s="273" t="s">
        <v>52</v>
      </c>
      <c r="AF5" s="274" t="s">
        <v>53</v>
      </c>
      <c r="AG5" s="274" t="s">
        <v>54</v>
      </c>
      <c r="AH5" s="274" t="s">
        <v>78</v>
      </c>
      <c r="AI5" s="154"/>
      <c r="AJ5" s="154"/>
    </row>
    <row r="6" spans="1:36" x14ac:dyDescent="0.25">
      <c r="A6" s="486"/>
      <c r="B6" s="493"/>
      <c r="C6" s="487"/>
      <c r="D6" s="486"/>
      <c r="E6" s="487"/>
      <c r="F6" s="486"/>
      <c r="G6" s="487"/>
      <c r="H6" s="489"/>
      <c r="I6" s="248"/>
      <c r="J6" s="248"/>
      <c r="K6" s="248"/>
      <c r="L6" s="248"/>
      <c r="M6" s="248"/>
      <c r="N6" s="248"/>
      <c r="O6" s="248"/>
      <c r="P6" s="290"/>
      <c r="Q6" s="294"/>
      <c r="R6" s="154"/>
      <c r="S6" s="154"/>
      <c r="T6" s="295" t="s">
        <v>66</v>
      </c>
      <c r="U6" s="545">
        <v>6.9194942578871199</v>
      </c>
      <c r="V6" s="288">
        <v>32.706553928519156</v>
      </c>
      <c r="W6" s="285"/>
      <c r="X6" s="296">
        <v>11</v>
      </c>
      <c r="Y6" s="297"/>
      <c r="Z6" s="154"/>
      <c r="AA6" s="154"/>
      <c r="AB6" s="298" t="s">
        <v>62</v>
      </c>
      <c r="AC6" s="545">
        <v>83.037499999999895</v>
      </c>
      <c r="AD6" s="228">
        <v>124.41158461588689</v>
      </c>
      <c r="AE6" s="314"/>
      <c r="AF6" s="299">
        <v>70</v>
      </c>
      <c r="AG6" s="300"/>
      <c r="AH6" s="301"/>
      <c r="AI6" s="154"/>
      <c r="AJ6" s="154"/>
    </row>
    <row r="7" spans="1:36" ht="41.25" customHeight="1" x14ac:dyDescent="0.25">
      <c r="A7" s="302" t="s">
        <v>11</v>
      </c>
      <c r="B7" s="298" t="s">
        <v>66</v>
      </c>
      <c r="C7" s="303" t="s">
        <v>67</v>
      </c>
      <c r="D7" s="304" t="s">
        <v>66</v>
      </c>
      <c r="E7" s="303" t="s">
        <v>67</v>
      </c>
      <c r="F7" s="304" t="s">
        <v>66</v>
      </c>
      <c r="G7" s="303" t="s">
        <v>67</v>
      </c>
      <c r="H7" s="305">
        <v>99</v>
      </c>
      <c r="I7" s="200"/>
      <c r="J7" s="200"/>
      <c r="K7" s="200"/>
      <c r="L7" s="200"/>
      <c r="M7" s="200"/>
      <c r="N7" s="200"/>
      <c r="O7" s="201"/>
      <c r="P7" s="294"/>
      <c r="Q7" s="294"/>
      <c r="R7" s="154"/>
      <c r="S7" s="154"/>
      <c r="T7" s="298" t="s">
        <v>68</v>
      </c>
      <c r="U7" s="546">
        <v>6.5497230910583397</v>
      </c>
      <c r="V7" s="361">
        <v>5.7064078573829358</v>
      </c>
      <c r="W7" s="286"/>
      <c r="X7" s="306"/>
      <c r="Y7" s="297"/>
      <c r="Z7" s="154"/>
      <c r="AA7" s="154"/>
      <c r="AB7" s="307"/>
      <c r="AC7" s="308"/>
      <c r="AD7" s="308"/>
      <c r="AE7" s="308"/>
      <c r="AF7" s="307"/>
      <c r="AG7" s="307"/>
      <c r="AH7" s="307"/>
      <c r="AI7" s="154"/>
      <c r="AJ7" s="154"/>
    </row>
    <row r="8" spans="1:36" ht="15.75" customHeight="1" thickBot="1" x14ac:dyDescent="0.3">
      <c r="A8" s="247">
        <v>2022</v>
      </c>
      <c r="B8" s="548">
        <v>127.26818728658498</v>
      </c>
      <c r="C8" s="552">
        <v>298.52369325599381</v>
      </c>
      <c r="D8" s="555">
        <v>134.37557343196016</v>
      </c>
      <c r="E8" s="544">
        <v>325.2</v>
      </c>
      <c r="F8" s="238"/>
      <c r="G8" s="239"/>
      <c r="H8" s="240"/>
      <c r="I8" s="200"/>
      <c r="J8" s="200"/>
      <c r="K8" s="200"/>
      <c r="L8" s="200"/>
      <c r="M8" s="200"/>
      <c r="N8" s="200"/>
      <c r="O8" s="201"/>
      <c r="P8" s="294"/>
      <c r="Q8" s="294"/>
      <c r="R8" s="154"/>
      <c r="S8" s="154"/>
      <c r="T8" s="309"/>
      <c r="U8" s="222"/>
      <c r="V8" s="223"/>
      <c r="W8" s="224"/>
      <c r="X8" s="310"/>
      <c r="Y8" s="310"/>
      <c r="Z8" s="154"/>
      <c r="AA8" s="154"/>
      <c r="AB8" s="292"/>
      <c r="AC8" s="462" t="s">
        <v>55</v>
      </c>
      <c r="AD8" s="463"/>
      <c r="AE8" s="463"/>
      <c r="AF8" s="464"/>
      <c r="AG8" s="464"/>
      <c r="AH8" s="307"/>
      <c r="AI8" s="154"/>
      <c r="AJ8" s="154"/>
    </row>
    <row r="9" spans="1:36" ht="45" customHeight="1" x14ac:dyDescent="0.25">
      <c r="A9" s="311"/>
      <c r="B9" s="312"/>
      <c r="C9" s="312"/>
      <c r="D9" s="310"/>
      <c r="E9" s="310"/>
      <c r="F9" s="310"/>
      <c r="G9" s="313"/>
      <c r="H9" s="237"/>
      <c r="I9" s="200"/>
      <c r="J9" s="200"/>
      <c r="K9" s="200"/>
      <c r="L9" s="200"/>
      <c r="M9" s="200"/>
      <c r="N9" s="200"/>
      <c r="O9" s="201"/>
      <c r="P9" s="294"/>
      <c r="Q9" s="294"/>
      <c r="R9" s="154"/>
      <c r="S9" s="154"/>
      <c r="T9" s="309"/>
      <c r="U9" s="222"/>
      <c r="V9" s="223"/>
      <c r="W9" s="224"/>
      <c r="X9" s="310"/>
      <c r="Y9" s="310"/>
      <c r="Z9" s="154"/>
      <c r="AA9" s="154"/>
      <c r="AB9" s="292"/>
      <c r="AC9" s="273" t="s">
        <v>50</v>
      </c>
      <c r="AD9" s="273" t="s">
        <v>51</v>
      </c>
      <c r="AE9" s="273" t="s">
        <v>52</v>
      </c>
      <c r="AF9" s="274" t="s">
        <v>53</v>
      </c>
      <c r="AG9" s="274" t="s">
        <v>54</v>
      </c>
      <c r="AH9" s="301"/>
      <c r="AI9" s="154"/>
      <c r="AJ9" s="154"/>
    </row>
    <row r="10" spans="1:36" ht="15.75" x14ac:dyDescent="0.25">
      <c r="A10" s="311"/>
      <c r="B10" s="312"/>
      <c r="C10" s="312"/>
      <c r="D10" s="310"/>
      <c r="E10" s="310"/>
      <c r="F10" s="310"/>
      <c r="G10" s="313"/>
      <c r="H10" s="237"/>
      <c r="I10" s="200"/>
      <c r="J10" s="200"/>
      <c r="K10" s="200"/>
      <c r="L10" s="200"/>
      <c r="M10" s="200"/>
      <c r="N10" s="200"/>
      <c r="O10" s="201"/>
      <c r="P10" s="294"/>
      <c r="Q10" s="294"/>
      <c r="R10" s="154"/>
      <c r="S10" s="154"/>
      <c r="T10" s="292"/>
      <c r="U10" s="462" t="s">
        <v>55</v>
      </c>
      <c r="V10" s="463"/>
      <c r="W10" s="463"/>
      <c r="X10" s="464"/>
      <c r="Y10" s="465"/>
      <c r="Z10" s="154"/>
      <c r="AA10" s="154"/>
      <c r="AB10" s="298" t="s">
        <v>62</v>
      </c>
      <c r="AC10" s="550">
        <v>46.082461812634044</v>
      </c>
      <c r="AD10" s="360">
        <v>52.817338034125754</v>
      </c>
      <c r="AE10" s="229"/>
      <c r="AF10" s="299">
        <v>50</v>
      </c>
      <c r="AG10" s="300"/>
      <c r="AH10" s="301"/>
      <c r="AI10" s="154"/>
      <c r="AJ10" s="154"/>
    </row>
    <row r="11" spans="1:36" ht="15.75" customHeight="1" x14ac:dyDescent="0.25">
      <c r="A11" s="505" t="s">
        <v>55</v>
      </c>
      <c r="B11" s="506"/>
      <c r="C11" s="506"/>
      <c r="D11" s="506"/>
      <c r="E11" s="506"/>
      <c r="F11" s="506"/>
      <c r="G11" s="506"/>
      <c r="H11" s="507"/>
      <c r="I11" s="200"/>
      <c r="J11" s="200"/>
      <c r="K11" s="200"/>
      <c r="L11" s="200"/>
      <c r="M11" s="200"/>
      <c r="N11" s="200"/>
      <c r="O11" s="201"/>
      <c r="P11" s="294"/>
      <c r="Q11" s="294"/>
      <c r="R11" s="154"/>
      <c r="S11" s="154"/>
      <c r="T11" s="292"/>
      <c r="U11" s="273" t="s">
        <v>50</v>
      </c>
      <c r="V11" s="273" t="s">
        <v>51</v>
      </c>
      <c r="W11" s="273" t="s">
        <v>52</v>
      </c>
      <c r="X11" s="274" t="s">
        <v>78</v>
      </c>
      <c r="Y11" s="293"/>
      <c r="Z11" s="154"/>
      <c r="AA11" s="154"/>
      <c r="AB11" s="307"/>
      <c r="AC11" s="308"/>
      <c r="AD11" s="308"/>
      <c r="AE11" s="308"/>
      <c r="AF11" s="307"/>
      <c r="AG11" s="307"/>
      <c r="AH11" s="307"/>
      <c r="AI11" s="154"/>
      <c r="AJ11" s="154"/>
    </row>
    <row r="12" spans="1:36" ht="15.75" customHeight="1" thickBot="1" x14ac:dyDescent="0.3">
      <c r="A12" s="311"/>
      <c r="B12" s="312"/>
      <c r="C12" s="312"/>
      <c r="D12" s="310"/>
      <c r="E12" s="310"/>
      <c r="F12" s="310"/>
      <c r="G12" s="313"/>
      <c r="H12" s="237"/>
      <c r="I12" s="200"/>
      <c r="J12" s="200"/>
      <c r="K12" s="200"/>
      <c r="L12" s="200"/>
      <c r="M12" s="200"/>
      <c r="N12" s="200"/>
      <c r="O12" s="201"/>
      <c r="P12" s="294"/>
      <c r="Q12" s="294"/>
      <c r="R12" s="154"/>
      <c r="S12" s="154"/>
      <c r="T12" s="295" t="s">
        <v>66</v>
      </c>
      <c r="U12" s="546">
        <v>2.5230180499574399</v>
      </c>
      <c r="V12" s="551">
        <v>10.830354555849661</v>
      </c>
      <c r="W12" s="229"/>
      <c r="X12" s="296">
        <v>6</v>
      </c>
      <c r="Y12" s="297"/>
      <c r="Z12" s="154"/>
      <c r="AA12" s="154"/>
      <c r="AB12" s="307"/>
      <c r="AC12" s="308"/>
      <c r="AD12" s="308"/>
      <c r="AE12" s="308"/>
      <c r="AF12" s="307"/>
      <c r="AG12" s="307"/>
      <c r="AH12" s="307"/>
      <c r="AI12" s="154"/>
      <c r="AJ12" s="154"/>
    </row>
    <row r="13" spans="1:36" ht="15.75" customHeight="1" x14ac:dyDescent="0.25">
      <c r="A13" s="494" t="s">
        <v>50</v>
      </c>
      <c r="B13" s="511"/>
      <c r="C13" s="512"/>
      <c r="D13" s="513" t="s">
        <v>51</v>
      </c>
      <c r="E13" s="514"/>
      <c r="F13" s="513" t="s">
        <v>52</v>
      </c>
      <c r="G13" s="514"/>
      <c r="H13" s="500" t="s">
        <v>80</v>
      </c>
      <c r="I13" s="200"/>
      <c r="J13" s="200"/>
      <c r="K13" s="200"/>
      <c r="L13" s="200"/>
      <c r="M13" s="200"/>
      <c r="N13" s="200"/>
      <c r="O13" s="201"/>
      <c r="P13" s="294"/>
      <c r="Q13" s="294"/>
      <c r="R13" s="154"/>
      <c r="S13" s="154"/>
      <c r="T13" s="298" t="s">
        <v>68</v>
      </c>
      <c r="U13" s="546">
        <v>3.6538881329784099</v>
      </c>
      <c r="V13" s="361">
        <v>2.6039273457741201</v>
      </c>
      <c r="W13" s="229"/>
      <c r="X13" s="314"/>
      <c r="Y13" s="297"/>
      <c r="Z13" s="154"/>
      <c r="AA13" s="154"/>
      <c r="AB13" s="292"/>
      <c r="AC13" s="462" t="s">
        <v>84</v>
      </c>
      <c r="AD13" s="463"/>
      <c r="AE13" s="463"/>
      <c r="AF13" s="464"/>
      <c r="AG13" s="464"/>
      <c r="AH13" s="307"/>
      <c r="AI13" s="154"/>
      <c r="AJ13" s="154"/>
    </row>
    <row r="14" spans="1:36" ht="42.75" customHeight="1" x14ac:dyDescent="0.25">
      <c r="A14" s="486"/>
      <c r="B14" s="493"/>
      <c r="C14" s="487"/>
      <c r="D14" s="486"/>
      <c r="E14" s="487"/>
      <c r="F14" s="486"/>
      <c r="G14" s="487"/>
      <c r="H14" s="489"/>
      <c r="I14" s="200"/>
      <c r="J14" s="200"/>
      <c r="K14" s="200"/>
      <c r="L14" s="200"/>
      <c r="M14" s="200"/>
      <c r="N14" s="200"/>
      <c r="O14" s="201"/>
      <c r="P14" s="294"/>
      <c r="Q14" s="294"/>
      <c r="R14" s="154"/>
      <c r="S14" s="154"/>
      <c r="T14" s="309"/>
      <c r="U14" s="222"/>
      <c r="V14" s="223"/>
      <c r="W14" s="224"/>
      <c r="X14" s="310"/>
      <c r="Y14" s="310"/>
      <c r="Z14" s="154"/>
      <c r="AA14" s="154"/>
      <c r="AB14" s="292"/>
      <c r="AC14" s="273" t="s">
        <v>50</v>
      </c>
      <c r="AD14" s="273" t="s">
        <v>51</v>
      </c>
      <c r="AE14" s="273" t="s">
        <v>52</v>
      </c>
      <c r="AF14" s="274" t="s">
        <v>53</v>
      </c>
      <c r="AG14" s="274" t="s">
        <v>54</v>
      </c>
      <c r="AH14" s="301"/>
      <c r="AI14" s="154"/>
      <c r="AJ14" s="154"/>
    </row>
    <row r="15" spans="1:36" ht="15.75" customHeight="1" x14ac:dyDescent="0.25">
      <c r="A15" s="302" t="s">
        <v>11</v>
      </c>
      <c r="B15" s="298" t="s">
        <v>66</v>
      </c>
      <c r="C15" s="303" t="s">
        <v>67</v>
      </c>
      <c r="D15" s="304" t="s">
        <v>66</v>
      </c>
      <c r="E15" s="303" t="s">
        <v>67</v>
      </c>
      <c r="F15" s="304" t="s">
        <v>66</v>
      </c>
      <c r="G15" s="303" t="s">
        <v>67</v>
      </c>
      <c r="H15" s="305">
        <v>58</v>
      </c>
      <c r="I15" s="200"/>
      <c r="J15" s="200"/>
      <c r="K15" s="200"/>
      <c r="L15" s="200"/>
      <c r="M15" s="200"/>
      <c r="N15" s="200"/>
      <c r="O15" s="201"/>
      <c r="P15" s="294"/>
      <c r="Q15" s="294"/>
      <c r="R15" s="154"/>
      <c r="S15" s="154"/>
      <c r="T15" s="309"/>
      <c r="U15" s="222"/>
      <c r="V15" s="223"/>
      <c r="W15" s="224"/>
      <c r="X15" s="310"/>
      <c r="Y15" s="310"/>
      <c r="Z15" s="154"/>
      <c r="AA15" s="154"/>
      <c r="AB15" s="298" t="s">
        <v>62</v>
      </c>
      <c r="AC15" s="315"/>
      <c r="AD15" s="226"/>
      <c r="AE15" s="230">
        <v>97.528000000000006</v>
      </c>
      <c r="AF15" s="314"/>
      <c r="AG15" s="314"/>
      <c r="AH15" s="301"/>
      <c r="AI15" s="154"/>
      <c r="AJ15" s="154"/>
    </row>
    <row r="16" spans="1:36" ht="15.75" customHeight="1" thickBot="1" x14ac:dyDescent="0.3">
      <c r="A16" s="247">
        <v>2022</v>
      </c>
      <c r="B16" s="545">
        <v>66.413074649243001</v>
      </c>
      <c r="C16" s="552">
        <v>157.003025047249</v>
      </c>
      <c r="D16" s="547">
        <v>54.608887354667715</v>
      </c>
      <c r="E16" s="357">
        <v>137.13813823992029</v>
      </c>
      <c r="F16" s="238"/>
      <c r="G16" s="239"/>
      <c r="H16" s="240"/>
      <c r="I16" s="200"/>
      <c r="J16" s="200"/>
      <c r="K16" s="200"/>
      <c r="L16" s="200"/>
      <c r="M16" s="200"/>
      <c r="N16" s="200"/>
      <c r="O16" s="201"/>
      <c r="P16" s="294"/>
      <c r="Q16" s="294"/>
      <c r="R16" s="154"/>
      <c r="S16" s="154"/>
      <c r="T16" s="292"/>
      <c r="U16" s="508" t="s">
        <v>81</v>
      </c>
      <c r="V16" s="509"/>
      <c r="W16" s="510"/>
      <c r="X16" s="510"/>
      <c r="Y16" s="510"/>
      <c r="Z16" s="154"/>
      <c r="AA16" s="154"/>
      <c r="AB16" s="307"/>
      <c r="AC16" s="308"/>
      <c r="AD16" s="308"/>
      <c r="AE16" s="308"/>
      <c r="AF16" s="307"/>
      <c r="AG16" s="307"/>
      <c r="AH16" s="307"/>
      <c r="AI16" s="154"/>
      <c r="AJ16" s="154"/>
    </row>
    <row r="17" spans="1:43" ht="15.75" customHeight="1" x14ac:dyDescent="0.25">
      <c r="A17" s="311"/>
      <c r="B17" s="312"/>
      <c r="C17" s="312"/>
      <c r="D17" s="310"/>
      <c r="E17" s="310"/>
      <c r="F17" s="310"/>
      <c r="G17" s="313"/>
      <c r="H17" s="237"/>
      <c r="I17" s="200"/>
      <c r="J17" s="200"/>
      <c r="K17" s="200"/>
      <c r="L17" s="200"/>
      <c r="M17" s="200"/>
      <c r="N17" s="200"/>
      <c r="O17" s="201"/>
      <c r="P17" s="294"/>
      <c r="Q17" s="294"/>
      <c r="R17" s="154"/>
      <c r="S17" s="154"/>
      <c r="T17" s="292"/>
      <c r="U17" s="273" t="s">
        <v>50</v>
      </c>
      <c r="V17" s="273" t="s">
        <v>51</v>
      </c>
      <c r="W17" s="273" t="s">
        <v>52</v>
      </c>
      <c r="X17" s="274" t="s">
        <v>78</v>
      </c>
      <c r="Y17" s="293"/>
      <c r="Z17" s="154"/>
      <c r="AA17" s="154"/>
      <c r="AB17" s="307"/>
      <c r="AC17" s="308"/>
      <c r="AD17" s="308"/>
      <c r="AE17" s="308"/>
      <c r="AF17" s="307"/>
      <c r="AG17" s="307"/>
      <c r="AH17" s="307"/>
      <c r="AI17" s="154"/>
      <c r="AJ17" s="154"/>
    </row>
    <row r="18" spans="1:43" ht="15.75" customHeight="1" x14ac:dyDescent="0.25">
      <c r="A18" s="311"/>
      <c r="B18" s="312"/>
      <c r="C18" s="312"/>
      <c r="D18" s="310"/>
      <c r="E18" s="310"/>
      <c r="F18" s="310"/>
      <c r="G18" s="313"/>
      <c r="H18" s="237"/>
      <c r="I18" s="200"/>
      <c r="J18" s="200"/>
      <c r="K18" s="200"/>
      <c r="L18" s="200"/>
      <c r="M18" s="200"/>
      <c r="N18" s="200"/>
      <c r="O18" s="201"/>
      <c r="P18" s="294"/>
      <c r="Q18" s="294"/>
      <c r="R18" s="154"/>
      <c r="S18" s="154"/>
      <c r="T18" s="295" t="s">
        <v>66</v>
      </c>
      <c r="U18" s="316"/>
      <c r="V18" s="226"/>
      <c r="W18" s="225">
        <v>22.596153910629031</v>
      </c>
      <c r="X18" s="317"/>
      <c r="Y18" s="297"/>
      <c r="Z18" s="154"/>
      <c r="AA18" s="154"/>
      <c r="AB18" s="292"/>
      <c r="AC18" s="462" t="s">
        <v>85</v>
      </c>
      <c r="AD18" s="463"/>
      <c r="AE18" s="463"/>
      <c r="AF18" s="464"/>
      <c r="AG18" s="464"/>
      <c r="AH18" s="307"/>
      <c r="AI18" s="154"/>
      <c r="AJ18" s="154"/>
    </row>
    <row r="19" spans="1:43" ht="45.75" customHeight="1" x14ac:dyDescent="0.25">
      <c r="A19" s="318"/>
      <c r="B19" s="508" t="s">
        <v>81</v>
      </c>
      <c r="C19" s="509"/>
      <c r="D19" s="510"/>
      <c r="E19" s="510"/>
      <c r="F19" s="510"/>
      <c r="G19" s="319"/>
      <c r="H19" s="212"/>
      <c r="I19" s="200"/>
      <c r="J19" s="200"/>
      <c r="K19" s="200"/>
      <c r="L19" s="200"/>
      <c r="M19" s="200"/>
      <c r="N19" s="200"/>
      <c r="O19" s="201"/>
      <c r="P19" s="294"/>
      <c r="Q19" s="294"/>
      <c r="R19" s="154"/>
      <c r="S19" s="154"/>
      <c r="T19" s="298" t="s">
        <v>68</v>
      </c>
      <c r="U19" s="315"/>
      <c r="V19" s="226"/>
      <c r="W19" s="320">
        <v>4.1938503958980098</v>
      </c>
      <c r="X19" s="314"/>
      <c r="Y19" s="297"/>
      <c r="Z19" s="154"/>
      <c r="AA19" s="154"/>
      <c r="AB19" s="292"/>
      <c r="AC19" s="273" t="s">
        <v>50</v>
      </c>
      <c r="AD19" s="273" t="s">
        <v>51</v>
      </c>
      <c r="AE19" s="273" t="s">
        <v>52</v>
      </c>
      <c r="AF19" s="274" t="s">
        <v>53</v>
      </c>
      <c r="AG19" s="274" t="s">
        <v>54</v>
      </c>
      <c r="AH19" s="301"/>
      <c r="AI19" s="154"/>
      <c r="AJ19" s="154"/>
    </row>
    <row r="20" spans="1:43" ht="15.75" customHeight="1" thickBot="1" x14ac:dyDescent="0.3">
      <c r="A20" s="311"/>
      <c r="B20" s="312"/>
      <c r="C20" s="312"/>
      <c r="D20" s="310"/>
      <c r="E20" s="310"/>
      <c r="F20" s="310"/>
      <c r="G20" s="313"/>
      <c r="H20" s="237"/>
      <c r="I20" s="200"/>
      <c r="J20" s="200"/>
      <c r="K20" s="200"/>
      <c r="L20" s="200"/>
      <c r="M20" s="200"/>
      <c r="N20" s="200"/>
      <c r="O20" s="201"/>
      <c r="P20" s="294"/>
      <c r="Q20" s="294"/>
      <c r="R20" s="154"/>
      <c r="S20" s="154"/>
      <c r="T20" s="309"/>
      <c r="U20" s="222"/>
      <c r="V20" s="223"/>
      <c r="W20" s="224"/>
      <c r="X20" s="310"/>
      <c r="Y20" s="310"/>
      <c r="Z20" s="154"/>
      <c r="AA20" s="154"/>
      <c r="AB20" s="298" t="s">
        <v>62</v>
      </c>
      <c r="AC20" s="315"/>
      <c r="AD20" s="226"/>
      <c r="AE20" s="230">
        <v>65.174400000000006</v>
      </c>
      <c r="AF20" s="314"/>
      <c r="AG20" s="314"/>
      <c r="AH20" s="301"/>
      <c r="AI20" s="154"/>
      <c r="AJ20" s="154"/>
    </row>
    <row r="21" spans="1:43" ht="15.75" customHeight="1" x14ac:dyDescent="0.25">
      <c r="A21" s="494" t="s">
        <v>50</v>
      </c>
      <c r="B21" s="511"/>
      <c r="C21" s="512"/>
      <c r="D21" s="513" t="s">
        <v>51</v>
      </c>
      <c r="E21" s="514"/>
      <c r="F21" s="513" t="s">
        <v>52</v>
      </c>
      <c r="G21" s="514"/>
      <c r="H21" s="500" t="s">
        <v>80</v>
      </c>
      <c r="I21" s="200"/>
      <c r="J21" s="200"/>
      <c r="K21" s="200"/>
      <c r="L21" s="200"/>
      <c r="M21" s="200"/>
      <c r="N21" s="200"/>
      <c r="O21" s="201"/>
      <c r="P21" s="294"/>
      <c r="Q21" s="294"/>
      <c r="R21" s="154"/>
      <c r="S21" s="154"/>
      <c r="T21" s="309"/>
      <c r="U21" s="222"/>
      <c r="V21" s="223"/>
      <c r="W21" s="224"/>
      <c r="X21" s="310"/>
      <c r="Y21" s="310"/>
      <c r="Z21" s="154"/>
      <c r="AA21" s="154"/>
      <c r="AB21" s="307"/>
      <c r="AC21" s="321"/>
      <c r="AD21" s="321"/>
      <c r="AE21" s="321"/>
      <c r="AF21" s="307"/>
      <c r="AG21" s="307"/>
      <c r="AH21" s="307"/>
      <c r="AI21" s="154"/>
      <c r="AJ21" s="154"/>
    </row>
    <row r="22" spans="1:43" ht="15.75" customHeight="1" x14ac:dyDescent="0.25">
      <c r="A22" s="486"/>
      <c r="B22" s="493"/>
      <c r="C22" s="487"/>
      <c r="D22" s="486"/>
      <c r="E22" s="487"/>
      <c r="F22" s="486"/>
      <c r="G22" s="487"/>
      <c r="H22" s="489"/>
      <c r="I22" s="200"/>
      <c r="J22" s="200"/>
      <c r="K22" s="200"/>
      <c r="L22" s="200"/>
      <c r="M22" s="200"/>
      <c r="N22" s="200"/>
      <c r="O22" s="201"/>
      <c r="P22" s="294"/>
      <c r="Q22" s="294"/>
      <c r="R22" s="154"/>
      <c r="S22" s="154"/>
      <c r="T22" s="292"/>
      <c r="U22" s="462" t="s">
        <v>82</v>
      </c>
      <c r="V22" s="463"/>
      <c r="W22" s="463"/>
      <c r="X22" s="464"/>
      <c r="Y22" s="465"/>
      <c r="Z22" s="154"/>
      <c r="AA22" s="154"/>
      <c r="AB22" s="292"/>
      <c r="AC22" s="462" t="s">
        <v>83</v>
      </c>
      <c r="AD22" s="463"/>
      <c r="AE22" s="463"/>
      <c r="AF22" s="464"/>
      <c r="AG22" s="464"/>
      <c r="AH22" s="307"/>
      <c r="AI22" s="154"/>
      <c r="AJ22" s="154"/>
    </row>
    <row r="23" spans="1:43" ht="48" customHeight="1" x14ac:dyDescent="0.25">
      <c r="A23" s="302" t="s">
        <v>11</v>
      </c>
      <c r="B23" s="298" t="s">
        <v>66</v>
      </c>
      <c r="C23" s="303" t="s">
        <v>67</v>
      </c>
      <c r="D23" s="304" t="s">
        <v>66</v>
      </c>
      <c r="E23" s="303" t="s">
        <v>67</v>
      </c>
      <c r="F23" s="304" t="s">
        <v>66</v>
      </c>
      <c r="G23" s="303" t="s">
        <v>67</v>
      </c>
      <c r="H23" s="305">
        <v>75</v>
      </c>
      <c r="I23" s="200"/>
      <c r="J23" s="200"/>
      <c r="K23" s="200"/>
      <c r="L23" s="200"/>
      <c r="M23" s="200"/>
      <c r="N23" s="200"/>
      <c r="O23" s="201"/>
      <c r="P23" s="294"/>
      <c r="Q23" s="294"/>
      <c r="R23" s="154"/>
      <c r="S23" s="154"/>
      <c r="T23" s="292"/>
      <c r="U23" s="273" t="s">
        <v>50</v>
      </c>
      <c r="V23" s="273" t="s">
        <v>51</v>
      </c>
      <c r="W23" s="273" t="s">
        <v>52</v>
      </c>
      <c r="X23" s="274" t="s">
        <v>78</v>
      </c>
      <c r="Y23" s="293"/>
      <c r="Z23" s="154"/>
      <c r="AA23" s="154"/>
      <c r="AB23" s="292"/>
      <c r="AC23" s="273" t="s">
        <v>50</v>
      </c>
      <c r="AD23" s="273" t="s">
        <v>51</v>
      </c>
      <c r="AE23" s="273" t="s">
        <v>52</v>
      </c>
      <c r="AF23" s="274" t="s">
        <v>53</v>
      </c>
      <c r="AG23" s="274" t="s">
        <v>54</v>
      </c>
      <c r="AH23" s="301"/>
      <c r="AI23" s="154"/>
      <c r="AJ23" s="154"/>
    </row>
    <row r="24" spans="1:43" ht="15.75" customHeight="1" thickBot="1" x14ac:dyDescent="0.3">
      <c r="A24" s="247">
        <v>2022</v>
      </c>
      <c r="B24" s="322"/>
      <c r="C24" s="323"/>
      <c r="D24" s="324"/>
      <c r="E24" s="325"/>
      <c r="F24" s="414">
        <v>108.65</v>
      </c>
      <c r="G24" s="385">
        <v>254.86</v>
      </c>
      <c r="H24" s="413"/>
      <c r="I24" s="200"/>
      <c r="J24" s="200"/>
      <c r="K24" s="200"/>
      <c r="L24" s="200"/>
      <c r="M24" s="200"/>
      <c r="N24" s="200"/>
      <c r="O24" s="201"/>
      <c r="P24" s="294"/>
      <c r="Q24" s="294"/>
      <c r="R24" s="154"/>
      <c r="S24" s="154"/>
      <c r="T24" s="295" t="s">
        <v>66</v>
      </c>
      <c r="U24" s="316"/>
      <c r="V24" s="226"/>
      <c r="W24" s="225">
        <v>15.111772606972419</v>
      </c>
      <c r="X24" s="314"/>
      <c r="Y24" s="297"/>
      <c r="Z24" s="154"/>
      <c r="AA24" s="154"/>
      <c r="AB24" s="298" t="s">
        <v>62</v>
      </c>
      <c r="AC24" s="315"/>
      <c r="AD24" s="226"/>
      <c r="AE24" s="554">
        <v>53.525712550031358</v>
      </c>
      <c r="AF24" s="314"/>
      <c r="AG24" s="314"/>
      <c r="AH24" s="301"/>
      <c r="AI24" s="154"/>
      <c r="AJ24" s="154"/>
    </row>
    <row r="25" spans="1:43" ht="15.75" customHeight="1" x14ac:dyDescent="0.25">
      <c r="A25" s="311"/>
      <c r="B25" s="312"/>
      <c r="C25" s="312"/>
      <c r="D25" s="310"/>
      <c r="E25" s="310"/>
      <c r="F25" s="310"/>
      <c r="G25" s="313"/>
      <c r="H25" s="237"/>
      <c r="I25" s="200"/>
      <c r="J25" s="200"/>
      <c r="K25" s="200"/>
      <c r="L25" s="200"/>
      <c r="M25" s="200"/>
      <c r="N25" s="200"/>
      <c r="O25" s="201"/>
      <c r="P25" s="294"/>
      <c r="Q25" s="294"/>
      <c r="R25" s="154"/>
      <c r="S25" s="154"/>
      <c r="T25" s="298" t="s">
        <v>68</v>
      </c>
      <c r="U25" s="315"/>
      <c r="V25" s="226"/>
      <c r="W25" s="225">
        <v>3.9596439880022598</v>
      </c>
      <c r="X25" s="314"/>
      <c r="Y25" s="297"/>
      <c r="Z25" s="154"/>
      <c r="AA25" s="154"/>
      <c r="AB25" s="154"/>
      <c r="AC25" s="154"/>
      <c r="AD25" s="154"/>
      <c r="AE25" s="154"/>
      <c r="AF25" s="154"/>
      <c r="AG25" s="154"/>
      <c r="AH25" s="154"/>
      <c r="AI25" s="154"/>
      <c r="AJ25" s="154"/>
    </row>
    <row r="26" spans="1:43" ht="15.75" customHeight="1" x14ac:dyDescent="0.25">
      <c r="A26" s="515" t="s">
        <v>82</v>
      </c>
      <c r="B26" s="516"/>
      <c r="C26" s="516"/>
      <c r="D26" s="516"/>
      <c r="E26" s="516"/>
      <c r="F26" s="516"/>
      <c r="G26" s="516"/>
      <c r="H26" s="517"/>
      <c r="I26" s="200"/>
      <c r="J26" s="200"/>
      <c r="K26" s="200"/>
      <c r="L26" s="200"/>
      <c r="M26" s="200"/>
      <c r="N26" s="200"/>
      <c r="O26" s="201"/>
      <c r="P26" s="294"/>
      <c r="Q26" s="294"/>
      <c r="R26" s="154"/>
      <c r="S26" s="154"/>
      <c r="T26" s="309"/>
      <c r="U26" s="222"/>
      <c r="V26" s="223"/>
      <c r="W26" s="224"/>
      <c r="X26" s="310"/>
      <c r="Y26" s="310"/>
      <c r="Z26" s="154"/>
      <c r="AA26" s="154"/>
      <c r="AB26" s="307"/>
      <c r="AC26" s="308"/>
      <c r="AD26" s="308"/>
      <c r="AE26" s="308"/>
      <c r="AF26" s="307"/>
      <c r="AG26" s="307"/>
      <c r="AH26" s="307"/>
      <c r="AI26" s="154"/>
      <c r="AJ26" s="154"/>
    </row>
    <row r="27" spans="1:43" ht="15.75" customHeight="1" thickBot="1" x14ac:dyDescent="0.3">
      <c r="A27" s="311"/>
      <c r="B27" s="312"/>
      <c r="C27" s="312"/>
      <c r="D27" s="310"/>
      <c r="E27" s="310"/>
      <c r="F27" s="310"/>
      <c r="G27" s="313"/>
      <c r="H27" s="237"/>
      <c r="I27" s="200"/>
      <c r="J27" s="200"/>
      <c r="K27" s="200"/>
      <c r="L27" s="200"/>
      <c r="M27" s="200"/>
      <c r="N27" s="200"/>
      <c r="O27" s="201"/>
      <c r="P27" s="294"/>
      <c r="Q27" s="294"/>
      <c r="R27" s="154"/>
      <c r="S27" s="154"/>
      <c r="T27" s="309"/>
      <c r="U27" s="222"/>
      <c r="V27" s="223"/>
      <c r="W27" s="224"/>
      <c r="X27" s="310"/>
      <c r="Y27" s="310"/>
      <c r="Z27" s="154"/>
      <c r="AA27" s="154"/>
      <c r="AB27" s="307"/>
      <c r="AC27" s="462" t="s">
        <v>56</v>
      </c>
      <c r="AD27" s="463"/>
      <c r="AE27" s="463"/>
      <c r="AF27" s="464"/>
      <c r="AG27" s="464"/>
      <c r="AH27" s="307"/>
      <c r="AI27" s="154"/>
      <c r="AJ27" s="154"/>
    </row>
    <row r="28" spans="1:43" ht="42.75" x14ac:dyDescent="0.25">
      <c r="A28" s="494" t="s">
        <v>50</v>
      </c>
      <c r="B28" s="511"/>
      <c r="C28" s="512"/>
      <c r="D28" s="513" t="s">
        <v>51</v>
      </c>
      <c r="E28" s="514"/>
      <c r="F28" s="513" t="s">
        <v>52</v>
      </c>
      <c r="G28" s="514"/>
      <c r="H28" s="500" t="s">
        <v>80</v>
      </c>
      <c r="I28" s="200"/>
      <c r="J28" s="200"/>
      <c r="K28" s="200"/>
      <c r="L28" s="200"/>
      <c r="M28" s="200"/>
      <c r="N28" s="200"/>
      <c r="O28" s="201"/>
      <c r="P28" s="294"/>
      <c r="Q28" s="294"/>
      <c r="R28" s="154"/>
      <c r="S28" s="154"/>
      <c r="T28" s="307"/>
      <c r="U28" s="462" t="s">
        <v>83</v>
      </c>
      <c r="V28" s="463"/>
      <c r="W28" s="463"/>
      <c r="X28" s="464"/>
      <c r="Y28" s="465"/>
      <c r="Z28" s="154"/>
      <c r="AA28" s="154"/>
      <c r="AB28" s="307"/>
      <c r="AC28" s="278" t="s">
        <v>50</v>
      </c>
      <c r="AD28" s="278" t="s">
        <v>51</v>
      </c>
      <c r="AE28" s="278" t="s">
        <v>52</v>
      </c>
      <c r="AF28" s="274" t="s">
        <v>53</v>
      </c>
      <c r="AG28" s="274" t="s">
        <v>54</v>
      </c>
      <c r="AH28" s="301"/>
      <c r="AI28" s="154"/>
      <c r="AJ28" s="154"/>
    </row>
    <row r="29" spans="1:43" ht="15.75" customHeight="1" x14ac:dyDescent="0.25">
      <c r="A29" s="486"/>
      <c r="B29" s="493"/>
      <c r="C29" s="487"/>
      <c r="D29" s="486"/>
      <c r="E29" s="487"/>
      <c r="F29" s="486"/>
      <c r="G29" s="487"/>
      <c r="H29" s="489"/>
      <c r="I29" s="200"/>
      <c r="J29" s="200"/>
      <c r="K29" s="200"/>
      <c r="L29" s="200"/>
      <c r="M29" s="200"/>
      <c r="N29" s="200"/>
      <c r="O29" s="201"/>
      <c r="P29" s="294"/>
      <c r="Q29" s="294"/>
      <c r="R29" s="154"/>
      <c r="S29" s="154"/>
      <c r="T29" s="307"/>
      <c r="U29" s="278" t="s">
        <v>50</v>
      </c>
      <c r="V29" s="278" t="s">
        <v>51</v>
      </c>
      <c r="W29" s="278" t="s">
        <v>52</v>
      </c>
      <c r="X29" s="274" t="s">
        <v>78</v>
      </c>
      <c r="Y29" s="293"/>
      <c r="Z29" s="154"/>
      <c r="AA29" s="154"/>
      <c r="AB29" s="298" t="s">
        <v>62</v>
      </c>
      <c r="AC29" s="204">
        <v>53.63</v>
      </c>
      <c r="AD29" s="422"/>
      <c r="AE29" s="231">
        <v>44.384</v>
      </c>
      <c r="AF29" s="299">
        <v>25</v>
      </c>
      <c r="AG29" s="314"/>
      <c r="AH29" s="301"/>
      <c r="AI29" s="154"/>
      <c r="AJ29" s="154"/>
    </row>
    <row r="30" spans="1:43" ht="15.75" customHeight="1" x14ac:dyDescent="0.25">
      <c r="A30" s="302" t="s">
        <v>11</v>
      </c>
      <c r="B30" s="298" t="s">
        <v>66</v>
      </c>
      <c r="C30" s="303" t="s">
        <v>67</v>
      </c>
      <c r="D30" s="304" t="s">
        <v>66</v>
      </c>
      <c r="E30" s="303" t="s">
        <v>67</v>
      </c>
      <c r="F30" s="304" t="s">
        <v>66</v>
      </c>
      <c r="G30" s="303" t="s">
        <v>67</v>
      </c>
      <c r="H30" s="305">
        <v>75</v>
      </c>
      <c r="I30" s="200"/>
      <c r="J30" s="200"/>
      <c r="K30" s="200"/>
      <c r="L30" s="200"/>
      <c r="M30" s="200"/>
      <c r="N30" s="200"/>
      <c r="O30" s="201"/>
      <c r="P30" s="294"/>
      <c r="Q30" s="294"/>
      <c r="R30" s="154"/>
      <c r="S30" s="154"/>
      <c r="T30" s="295" t="s">
        <v>66</v>
      </c>
      <c r="U30" s="275"/>
      <c r="V30" s="276"/>
      <c r="W30" s="549">
        <v>10.907314888969088</v>
      </c>
      <c r="X30" s="314"/>
      <c r="Y30" s="297"/>
      <c r="Z30" s="154"/>
      <c r="AA30" s="154"/>
      <c r="AB30" s="154"/>
      <c r="AC30" s="154"/>
      <c r="AD30" s="154"/>
      <c r="AE30" s="154"/>
      <c r="AF30" s="154"/>
      <c r="AG30" s="154"/>
      <c r="AH30" s="154"/>
      <c r="AI30" s="154"/>
      <c r="AJ30" s="154"/>
    </row>
    <row r="31" spans="1:43" ht="17.25" customHeight="1" thickBot="1" x14ac:dyDescent="0.3">
      <c r="A31" s="247">
        <v>2022</v>
      </c>
      <c r="B31" s="322"/>
      <c r="C31" s="323"/>
      <c r="D31" s="324"/>
      <c r="E31" s="325"/>
      <c r="F31" s="383">
        <v>76.94</v>
      </c>
      <c r="G31" s="384">
        <v>180.47</v>
      </c>
      <c r="H31" s="412"/>
      <c r="I31" s="190"/>
      <c r="J31" s="190"/>
      <c r="K31" s="190"/>
      <c r="L31" s="190"/>
      <c r="M31" s="190"/>
      <c r="N31" s="190"/>
      <c r="O31" s="190"/>
      <c r="P31" s="190"/>
      <c r="Q31" s="154"/>
      <c r="R31" s="154"/>
      <c r="S31" s="154"/>
      <c r="T31" s="298" t="s">
        <v>68</v>
      </c>
      <c r="U31" s="277"/>
      <c r="V31" s="276"/>
      <c r="W31" s="543">
        <v>2.8579760262820999</v>
      </c>
      <c r="X31" s="314"/>
      <c r="Y31" s="297"/>
      <c r="Z31" s="326"/>
      <c r="AA31" s="154"/>
      <c r="AB31" s="307"/>
      <c r="AC31" s="307"/>
      <c r="AD31" s="307"/>
      <c r="AE31" s="307"/>
      <c r="AF31" s="307"/>
      <c r="AG31" s="307"/>
      <c r="AH31" s="307"/>
      <c r="AI31" s="154"/>
      <c r="AJ31" s="154"/>
    </row>
    <row r="32" spans="1:43" x14ac:dyDescent="0.25">
      <c r="A32" s="311"/>
      <c r="B32" s="312"/>
      <c r="C32" s="312"/>
      <c r="D32" s="310"/>
      <c r="E32" s="310"/>
      <c r="F32" s="310"/>
      <c r="G32" s="310"/>
      <c r="H32" s="312"/>
      <c r="I32" s="190"/>
      <c r="J32" s="190"/>
      <c r="K32" s="190"/>
      <c r="L32" s="190"/>
      <c r="M32" s="190"/>
      <c r="N32" s="190"/>
      <c r="O32" s="190"/>
      <c r="P32" s="154"/>
      <c r="Q32" s="154"/>
      <c r="R32" s="154"/>
      <c r="S32" s="154"/>
      <c r="T32" s="292"/>
      <c r="U32" s="292"/>
      <c r="V32" s="327"/>
      <c r="W32" s="327"/>
      <c r="X32" s="292"/>
      <c r="Y32" s="292"/>
      <c r="Z32" s="326"/>
      <c r="AA32" s="154"/>
      <c r="AB32" s="307"/>
      <c r="AC32" s="462" t="s">
        <v>57</v>
      </c>
      <c r="AD32" s="463"/>
      <c r="AE32" s="463"/>
      <c r="AF32" s="464"/>
      <c r="AG32" s="464"/>
      <c r="AH32" s="307"/>
      <c r="AI32" s="154"/>
      <c r="AJ32" s="154"/>
      <c r="AK32" s="216"/>
      <c r="AL32" s="526"/>
      <c r="AM32" s="527"/>
      <c r="AN32" s="527"/>
      <c r="AO32" s="528"/>
      <c r="AP32" s="528"/>
      <c r="AQ32" s="216"/>
    </row>
    <row r="33" spans="1:43" ht="31.5" customHeight="1" x14ac:dyDescent="0.25">
      <c r="A33" s="311"/>
      <c r="B33" s="312"/>
      <c r="C33" s="312"/>
      <c r="D33" s="310"/>
      <c r="E33" s="310"/>
      <c r="F33" s="310"/>
      <c r="G33" s="310"/>
      <c r="H33" s="312"/>
      <c r="I33" s="190"/>
      <c r="J33" s="190"/>
      <c r="K33" s="190"/>
      <c r="L33" s="190"/>
      <c r="M33" s="190"/>
      <c r="N33" s="190"/>
      <c r="O33" s="190"/>
      <c r="P33" s="154"/>
      <c r="Q33" s="154"/>
      <c r="R33" s="154"/>
      <c r="S33" s="154"/>
      <c r="T33" s="292"/>
      <c r="U33" s="292"/>
      <c r="V33" s="327"/>
      <c r="W33" s="327"/>
      <c r="X33" s="292"/>
      <c r="Y33" s="292"/>
      <c r="Z33" s="326"/>
      <c r="AA33" s="154"/>
      <c r="AB33" s="307"/>
      <c r="AC33" s="278" t="s">
        <v>50</v>
      </c>
      <c r="AD33" s="278" t="s">
        <v>51</v>
      </c>
      <c r="AE33" s="278" t="s">
        <v>52</v>
      </c>
      <c r="AF33" s="274" t="s">
        <v>53</v>
      </c>
      <c r="AG33" s="274" t="s">
        <v>54</v>
      </c>
      <c r="AH33" s="301"/>
      <c r="AI33" s="154"/>
      <c r="AJ33" s="154"/>
      <c r="AK33" s="216"/>
      <c r="AL33" s="234"/>
      <c r="AM33" s="234"/>
      <c r="AN33" s="234"/>
      <c r="AO33" s="253"/>
      <c r="AP33" s="253"/>
      <c r="AQ33" s="216"/>
    </row>
    <row r="34" spans="1:43" ht="15" customHeight="1" x14ac:dyDescent="0.25">
      <c r="A34" s="515" t="s">
        <v>83</v>
      </c>
      <c r="B34" s="516"/>
      <c r="C34" s="516"/>
      <c r="D34" s="516"/>
      <c r="E34" s="516"/>
      <c r="F34" s="516"/>
      <c r="G34" s="516"/>
      <c r="H34" s="517"/>
      <c r="I34" s="190"/>
      <c r="J34" s="190"/>
      <c r="K34" s="190"/>
      <c r="L34" s="190"/>
      <c r="M34" s="190"/>
      <c r="N34" s="190"/>
      <c r="O34" s="190"/>
      <c r="P34" s="154"/>
      <c r="Q34" s="154"/>
      <c r="R34" s="154"/>
      <c r="S34" s="154"/>
      <c r="T34" s="292"/>
      <c r="U34" s="462" t="s">
        <v>56</v>
      </c>
      <c r="V34" s="463"/>
      <c r="W34" s="463"/>
      <c r="X34" s="464"/>
      <c r="Y34" s="465"/>
      <c r="Z34" s="326"/>
      <c r="AA34" s="154"/>
      <c r="AB34" s="298" t="s">
        <v>62</v>
      </c>
      <c r="AC34" s="382">
        <v>19.487320009996701</v>
      </c>
      <c r="AD34" s="422"/>
      <c r="AE34" s="423"/>
      <c r="AF34" s="299">
        <v>16</v>
      </c>
      <c r="AG34" s="314"/>
      <c r="AH34" s="301"/>
      <c r="AI34" s="154"/>
      <c r="AJ34" s="154"/>
      <c r="AK34" s="253"/>
      <c r="AL34" s="237"/>
      <c r="AM34" s="223"/>
      <c r="AN34" s="209"/>
      <c r="AO34" s="236"/>
      <c r="AP34" s="253"/>
      <c r="AQ34" s="216"/>
    </row>
    <row r="35" spans="1:43" ht="17.25" customHeight="1" thickBot="1" x14ac:dyDescent="0.3">
      <c r="A35" s="290"/>
      <c r="B35" s="290"/>
      <c r="C35" s="290"/>
      <c r="D35" s="290"/>
      <c r="E35" s="290"/>
      <c r="F35" s="290"/>
      <c r="G35" s="290"/>
      <c r="H35" s="290"/>
      <c r="I35" s="248"/>
      <c r="J35" s="248"/>
      <c r="K35" s="248"/>
      <c r="L35" s="248"/>
      <c r="M35" s="248"/>
      <c r="N35" s="248"/>
      <c r="O35" s="190"/>
      <c r="P35" s="154"/>
      <c r="Q35" s="154"/>
      <c r="R35" s="154"/>
      <c r="S35" s="154"/>
      <c r="T35" s="292"/>
      <c r="U35" s="273" t="s">
        <v>50</v>
      </c>
      <c r="V35" s="273" t="s">
        <v>51</v>
      </c>
      <c r="W35" s="273" t="s">
        <v>52</v>
      </c>
      <c r="X35" s="274" t="s">
        <v>78</v>
      </c>
      <c r="Y35" s="293"/>
      <c r="Z35" s="326"/>
      <c r="AA35" s="154"/>
      <c r="AB35" s="307"/>
      <c r="AC35" s="307"/>
      <c r="AD35" s="307"/>
      <c r="AE35" s="307"/>
      <c r="AF35" s="307"/>
      <c r="AG35" s="307"/>
      <c r="AH35" s="307"/>
      <c r="AI35" s="154"/>
      <c r="AJ35" s="154"/>
    </row>
    <row r="36" spans="1:43" ht="15" customHeight="1" x14ac:dyDescent="0.25">
      <c r="A36" s="494" t="s">
        <v>50</v>
      </c>
      <c r="B36" s="511"/>
      <c r="C36" s="512"/>
      <c r="D36" s="513" t="s">
        <v>51</v>
      </c>
      <c r="E36" s="514"/>
      <c r="F36" s="513" t="s">
        <v>52</v>
      </c>
      <c r="G36" s="514"/>
      <c r="H36" s="500" t="s">
        <v>80</v>
      </c>
      <c r="I36" s="190"/>
      <c r="J36" s="190"/>
      <c r="K36" s="190"/>
      <c r="L36" s="190"/>
      <c r="M36" s="190"/>
      <c r="N36" s="190"/>
      <c r="O36" s="190"/>
      <c r="P36" s="154"/>
      <c r="Q36" s="154"/>
      <c r="R36" s="154"/>
      <c r="S36" s="154"/>
      <c r="T36" s="295" t="s">
        <v>66</v>
      </c>
      <c r="U36" s="206">
        <v>5</v>
      </c>
      <c r="V36" s="423"/>
      <c r="W36" s="328">
        <v>5</v>
      </c>
      <c r="X36" s="296">
        <v>5</v>
      </c>
      <c r="Y36" s="297"/>
      <c r="Z36" s="246"/>
      <c r="AA36" s="154"/>
      <c r="AB36" s="154"/>
      <c r="AC36" s="154"/>
      <c r="AD36" s="154"/>
      <c r="AE36" s="154"/>
      <c r="AF36" s="154"/>
      <c r="AG36" s="154"/>
      <c r="AH36" s="154"/>
      <c r="AI36" s="154"/>
      <c r="AJ36" s="154"/>
    </row>
    <row r="37" spans="1:43" ht="31.5" customHeight="1" x14ac:dyDescent="0.25">
      <c r="A37" s="486"/>
      <c r="B37" s="493"/>
      <c r="C37" s="487"/>
      <c r="D37" s="486"/>
      <c r="E37" s="487"/>
      <c r="F37" s="486"/>
      <c r="G37" s="487"/>
      <c r="H37" s="489"/>
      <c r="I37" s="190"/>
      <c r="J37" s="190"/>
      <c r="K37" s="190"/>
      <c r="L37" s="190"/>
      <c r="M37" s="190"/>
      <c r="N37" s="190"/>
      <c r="O37" s="190"/>
      <c r="P37" s="154"/>
      <c r="Q37" s="154"/>
      <c r="R37" s="154"/>
      <c r="S37" s="154"/>
      <c r="T37" s="298" t="s">
        <v>68</v>
      </c>
      <c r="U37" s="204" t="s">
        <v>63</v>
      </c>
      <c r="V37" s="423"/>
      <c r="W37" s="328">
        <v>3.9</v>
      </c>
      <c r="X37" s="314"/>
      <c r="Y37" s="297"/>
      <c r="Z37" s="154"/>
      <c r="AA37" s="154"/>
      <c r="AB37" s="307"/>
      <c r="AC37" s="462" t="s">
        <v>58</v>
      </c>
      <c r="AD37" s="463"/>
      <c r="AE37" s="463"/>
      <c r="AF37" s="464"/>
      <c r="AG37" s="464"/>
      <c r="AH37" s="307"/>
      <c r="AI37" s="154"/>
      <c r="AJ37" s="154"/>
    </row>
    <row r="38" spans="1:43" ht="42.75" x14ac:dyDescent="0.25">
      <c r="A38" s="302" t="s">
        <v>11</v>
      </c>
      <c r="B38" s="298" t="s">
        <v>66</v>
      </c>
      <c r="C38" s="303" t="s">
        <v>67</v>
      </c>
      <c r="D38" s="304" t="s">
        <v>66</v>
      </c>
      <c r="E38" s="303" t="s">
        <v>67</v>
      </c>
      <c r="F38" s="304" t="s">
        <v>66</v>
      </c>
      <c r="G38" s="303" t="s">
        <v>67</v>
      </c>
      <c r="H38" s="305">
        <v>75</v>
      </c>
      <c r="I38" s="190"/>
      <c r="J38" s="190"/>
      <c r="K38" s="190"/>
      <c r="L38" s="190"/>
      <c r="M38" s="190"/>
      <c r="N38" s="190"/>
      <c r="O38" s="190"/>
      <c r="P38" s="154"/>
      <c r="Q38" s="154"/>
      <c r="R38" s="154"/>
      <c r="S38" s="154"/>
      <c r="T38" s="154"/>
      <c r="U38" s="154"/>
      <c r="V38" s="190"/>
      <c r="W38" s="190"/>
      <c r="X38" s="154"/>
      <c r="Y38" s="154"/>
      <c r="Z38" s="154"/>
      <c r="AA38" s="154"/>
      <c r="AB38" s="307"/>
      <c r="AC38" s="278" t="s">
        <v>50</v>
      </c>
      <c r="AD38" s="278" t="s">
        <v>51</v>
      </c>
      <c r="AE38" s="278" t="s">
        <v>52</v>
      </c>
      <c r="AF38" s="274" t="s">
        <v>53</v>
      </c>
      <c r="AG38" s="274" t="s">
        <v>54</v>
      </c>
      <c r="AH38" s="301"/>
      <c r="AI38" s="154"/>
      <c r="AJ38" s="154"/>
    </row>
    <row r="39" spans="1:43" ht="23.25" customHeight="1" thickBot="1" x14ac:dyDescent="0.3">
      <c r="A39" s="247">
        <v>2022</v>
      </c>
      <c r="B39" s="322"/>
      <c r="C39" s="323"/>
      <c r="D39" s="324"/>
      <c r="E39" s="325"/>
      <c r="F39" s="383">
        <v>52.69</v>
      </c>
      <c r="G39" s="384">
        <v>123.59</v>
      </c>
      <c r="H39" s="412"/>
      <c r="I39" s="190"/>
      <c r="J39" s="190"/>
      <c r="K39" s="190"/>
      <c r="L39" s="190"/>
      <c r="M39" s="190"/>
      <c r="N39" s="190"/>
      <c r="O39" s="190"/>
      <c r="P39" s="154"/>
      <c r="Q39" s="154"/>
      <c r="R39" s="154"/>
      <c r="S39" s="154"/>
      <c r="T39" s="154"/>
      <c r="U39" s="519" t="s">
        <v>57</v>
      </c>
      <c r="V39" s="519"/>
      <c r="W39" s="519"/>
      <c r="X39" s="519"/>
      <c r="Y39" s="519"/>
      <c r="Z39" s="154"/>
      <c r="AA39" s="154"/>
      <c r="AB39" s="298" t="s">
        <v>62</v>
      </c>
      <c r="AC39" s="382">
        <v>22.594553059580178</v>
      </c>
      <c r="AD39" s="422"/>
      <c r="AE39" s="231">
        <v>17.987200000000001</v>
      </c>
      <c r="AF39" s="299">
        <v>25</v>
      </c>
      <c r="AG39" s="300"/>
      <c r="AH39" s="301"/>
      <c r="AI39" s="154"/>
      <c r="AJ39" s="154"/>
    </row>
    <row r="40" spans="1:43" ht="28.5" x14ac:dyDescent="0.25">
      <c r="A40" s="329"/>
      <c r="B40" s="237"/>
      <c r="C40" s="223"/>
      <c r="D40" s="209"/>
      <c r="E40" s="248"/>
      <c r="F40" s="330"/>
      <c r="G40" s="154"/>
      <c r="H40" s="154"/>
      <c r="I40" s="190"/>
      <c r="J40" s="190"/>
      <c r="K40" s="190"/>
      <c r="L40" s="190"/>
      <c r="M40" s="190"/>
      <c r="N40" s="190"/>
      <c r="O40" s="190"/>
      <c r="P40" s="154"/>
      <c r="Q40" s="154"/>
      <c r="R40" s="154"/>
      <c r="S40" s="154"/>
      <c r="T40" s="307"/>
      <c r="U40" s="278" t="s">
        <v>50</v>
      </c>
      <c r="V40" s="278" t="s">
        <v>51</v>
      </c>
      <c r="W40" s="278" t="s">
        <v>52</v>
      </c>
      <c r="X40" s="274" t="s">
        <v>78</v>
      </c>
      <c r="Y40" s="154"/>
      <c r="Z40" s="331"/>
      <c r="AA40" s="154"/>
      <c r="AB40" s="154"/>
      <c r="AC40" s="154"/>
      <c r="AD40" s="154"/>
      <c r="AE40" s="154"/>
      <c r="AF40" s="154"/>
      <c r="AG40" s="154"/>
      <c r="AH40" s="154"/>
      <c r="AI40" s="154"/>
      <c r="AJ40" s="154"/>
    </row>
    <row r="41" spans="1:43" ht="15" customHeight="1" x14ac:dyDescent="0.25">
      <c r="A41" s="505" t="s">
        <v>56</v>
      </c>
      <c r="B41" s="509"/>
      <c r="C41" s="510"/>
      <c r="D41" s="518"/>
      <c r="E41" s="518"/>
      <c r="F41" s="506"/>
      <c r="G41" s="506"/>
      <c r="H41" s="507"/>
      <c r="I41" s="190"/>
      <c r="J41" s="190"/>
      <c r="K41" s="190"/>
      <c r="L41" s="190"/>
      <c r="M41" s="190"/>
      <c r="N41" s="190"/>
      <c r="O41" s="190"/>
      <c r="P41" s="154"/>
      <c r="Q41" s="154"/>
      <c r="R41" s="154"/>
      <c r="S41" s="154"/>
      <c r="T41" s="295" t="s">
        <v>66</v>
      </c>
      <c r="U41" s="546">
        <v>0.28902510538234599</v>
      </c>
      <c r="V41" s="544">
        <v>0.3</v>
      </c>
      <c r="W41" s="207">
        <v>0.21934586278282001</v>
      </c>
      <c r="X41" s="296">
        <v>0.19</v>
      </c>
      <c r="Y41" s="154"/>
      <c r="Z41" s="246"/>
      <c r="AA41" s="154"/>
      <c r="AB41" s="307"/>
      <c r="AC41" s="462" t="s">
        <v>59</v>
      </c>
      <c r="AD41" s="462"/>
      <c r="AE41" s="462"/>
      <c r="AF41" s="462"/>
      <c r="AG41" s="462"/>
      <c r="AH41" s="307"/>
      <c r="AI41" s="154"/>
      <c r="AJ41" s="154"/>
    </row>
    <row r="42" spans="1:43" ht="48.75" customHeight="1" thickBot="1" x14ac:dyDescent="0.3">
      <c r="A42" s="332"/>
      <c r="B42" s="393"/>
      <c r="C42" s="330"/>
      <c r="D42" s="334"/>
      <c r="E42" s="394"/>
      <c r="F42" s="394"/>
      <c r="G42" s="248"/>
      <c r="H42" s="248"/>
      <c r="I42" s="190"/>
      <c r="J42" s="190"/>
      <c r="K42" s="190"/>
      <c r="L42" s="190"/>
      <c r="M42" s="190"/>
      <c r="N42" s="190"/>
      <c r="O42" s="190"/>
      <c r="P42" s="154"/>
      <c r="Q42" s="154"/>
      <c r="R42" s="154"/>
      <c r="S42" s="154"/>
      <c r="T42" s="298" t="s">
        <v>68</v>
      </c>
      <c r="U42" s="546">
        <v>0.44431018055618998</v>
      </c>
      <c r="V42" s="422"/>
      <c r="W42" s="423"/>
      <c r="X42" s="314"/>
      <c r="Y42" s="154"/>
      <c r="Z42" s="291"/>
      <c r="AA42" s="154"/>
      <c r="AB42" s="307"/>
      <c r="AC42" s="278" t="s">
        <v>50</v>
      </c>
      <c r="AD42" s="278" t="s">
        <v>51</v>
      </c>
      <c r="AE42" s="278" t="s">
        <v>52</v>
      </c>
      <c r="AF42" s="274" t="s">
        <v>53</v>
      </c>
      <c r="AG42" s="274" t="s">
        <v>54</v>
      </c>
      <c r="AH42" s="301"/>
      <c r="AI42" s="154"/>
      <c r="AJ42" s="154"/>
    </row>
    <row r="43" spans="1:43" ht="19.5" customHeight="1" x14ac:dyDescent="0.25">
      <c r="A43" s="494" t="s">
        <v>50</v>
      </c>
      <c r="B43" s="495"/>
      <c r="C43" s="496"/>
      <c r="D43" s="494" t="s">
        <v>51</v>
      </c>
      <c r="E43" s="496"/>
      <c r="F43" s="494" t="s">
        <v>52</v>
      </c>
      <c r="G43" s="496"/>
      <c r="H43" s="500" t="s">
        <v>80</v>
      </c>
      <c r="I43" s="190"/>
      <c r="J43" s="190"/>
      <c r="K43" s="190"/>
      <c r="L43" s="190"/>
      <c r="M43" s="190"/>
      <c r="N43" s="190"/>
      <c r="O43" s="190"/>
      <c r="P43" s="154"/>
      <c r="Q43" s="154"/>
      <c r="R43" s="154"/>
      <c r="S43" s="154"/>
      <c r="T43" s="307"/>
      <c r="U43" s="307"/>
      <c r="V43" s="335"/>
      <c r="W43" s="335"/>
      <c r="X43" s="307"/>
      <c r="Y43" s="307"/>
      <c r="Z43" s="294"/>
      <c r="AA43" s="154"/>
      <c r="AB43" s="298" t="s">
        <v>62</v>
      </c>
      <c r="AC43" s="382">
        <v>16.766623842577989</v>
      </c>
      <c r="AD43" s="422"/>
      <c r="AE43" s="423"/>
      <c r="AF43" s="299">
        <v>20</v>
      </c>
      <c r="AG43" s="314"/>
      <c r="AH43" s="301"/>
      <c r="AI43" s="154"/>
      <c r="AJ43" s="154"/>
    </row>
    <row r="44" spans="1:43" ht="20.25" customHeight="1" x14ac:dyDescent="0.25">
      <c r="A44" s="497"/>
      <c r="B44" s="498"/>
      <c r="C44" s="499"/>
      <c r="D44" s="497"/>
      <c r="E44" s="499"/>
      <c r="F44" s="497"/>
      <c r="G44" s="499"/>
      <c r="H44" s="501"/>
      <c r="I44" s="190"/>
      <c r="J44" s="190"/>
      <c r="K44" s="190"/>
      <c r="L44" s="190"/>
      <c r="M44" s="190"/>
      <c r="N44" s="190"/>
      <c r="O44" s="190"/>
      <c r="P44" s="154"/>
      <c r="Q44" s="154"/>
      <c r="R44" s="154"/>
      <c r="S44" s="154"/>
      <c r="T44" s="307"/>
      <c r="U44" s="392"/>
      <c r="V44" s="336"/>
      <c r="W44" s="336"/>
      <c r="X44" s="337"/>
      <c r="Y44" s="337"/>
      <c r="Z44" s="294"/>
      <c r="AA44" s="154"/>
      <c r="AB44" s="307"/>
      <c r="AC44" s="525"/>
      <c r="AD44" s="525"/>
      <c r="AE44" s="525"/>
      <c r="AF44" s="525"/>
      <c r="AG44" s="525"/>
      <c r="AH44" s="312"/>
      <c r="AI44" s="154"/>
      <c r="AJ44" s="154"/>
    </row>
    <row r="45" spans="1:43" ht="17.25" customHeight="1" x14ac:dyDescent="0.25">
      <c r="A45" s="302" t="s">
        <v>11</v>
      </c>
      <c r="B45" s="298" t="s">
        <v>66</v>
      </c>
      <c r="C45" s="303" t="s">
        <v>67</v>
      </c>
      <c r="D45" s="304" t="s">
        <v>66</v>
      </c>
      <c r="E45" s="303" t="s">
        <v>67</v>
      </c>
      <c r="F45" s="304" t="s">
        <v>66</v>
      </c>
      <c r="G45" s="303" t="s">
        <v>67</v>
      </c>
      <c r="H45" s="305">
        <v>55</v>
      </c>
      <c r="I45" s="190"/>
      <c r="J45" s="190"/>
      <c r="K45" s="190"/>
      <c r="L45" s="190"/>
      <c r="M45" s="190"/>
      <c r="N45" s="190"/>
      <c r="O45" s="190"/>
      <c r="P45" s="154"/>
      <c r="Q45" s="154"/>
      <c r="R45" s="154"/>
      <c r="S45" s="154"/>
      <c r="T45" s="307"/>
      <c r="U45" s="462" t="s">
        <v>58</v>
      </c>
      <c r="V45" s="463"/>
      <c r="W45" s="463"/>
      <c r="X45" s="464"/>
      <c r="Y45" s="465"/>
      <c r="Z45" s="331"/>
      <c r="AA45" s="154"/>
      <c r="AB45" s="307"/>
      <c r="AC45" s="462" t="s">
        <v>60</v>
      </c>
      <c r="AD45" s="462"/>
      <c r="AE45" s="462"/>
      <c r="AF45" s="462"/>
      <c r="AG45" s="462"/>
      <c r="AH45" s="307"/>
      <c r="AI45" s="154"/>
      <c r="AJ45" s="154"/>
    </row>
    <row r="46" spans="1:43" ht="43.5" thickBot="1" x14ac:dyDescent="0.3">
      <c r="A46" s="247">
        <v>2022</v>
      </c>
      <c r="B46" s="396">
        <v>55</v>
      </c>
      <c r="C46" s="233" t="s">
        <v>63</v>
      </c>
      <c r="D46" s="288">
        <v>55</v>
      </c>
      <c r="E46" s="357" t="s">
        <v>65</v>
      </c>
      <c r="F46" s="367">
        <v>65.668855288478866</v>
      </c>
      <c r="G46" s="368">
        <v>108</v>
      </c>
      <c r="H46" s="240"/>
      <c r="I46" s="190"/>
      <c r="J46" s="190"/>
      <c r="K46" s="190"/>
      <c r="L46" s="190"/>
      <c r="M46" s="190"/>
      <c r="N46" s="190"/>
      <c r="O46" s="190"/>
      <c r="P46" s="154"/>
      <c r="Q46" s="154"/>
      <c r="R46" s="154"/>
      <c r="S46" s="154"/>
      <c r="T46" s="307"/>
      <c r="U46" s="278" t="s">
        <v>50</v>
      </c>
      <c r="V46" s="278" t="s">
        <v>51</v>
      </c>
      <c r="W46" s="278" t="s">
        <v>52</v>
      </c>
      <c r="X46" s="274" t="s">
        <v>78</v>
      </c>
      <c r="Y46" s="293"/>
      <c r="Z46" s="331"/>
      <c r="AA46" s="154"/>
      <c r="AB46" s="307"/>
      <c r="AC46" s="278" t="s">
        <v>50</v>
      </c>
      <c r="AD46" s="278" t="s">
        <v>51</v>
      </c>
      <c r="AE46" s="278" t="s">
        <v>52</v>
      </c>
      <c r="AF46" s="274" t="s">
        <v>53</v>
      </c>
      <c r="AG46" s="274" t="s">
        <v>54</v>
      </c>
      <c r="AH46" s="301"/>
      <c r="AI46" s="154"/>
      <c r="AJ46" s="154"/>
    </row>
    <row r="47" spans="1:43" x14ac:dyDescent="0.25">
      <c r="A47" s="258"/>
      <c r="B47" s="338"/>
      <c r="C47" s="338"/>
      <c r="D47" s="339"/>
      <c r="E47" s="339"/>
      <c r="F47" s="259"/>
      <c r="G47" s="259"/>
      <c r="H47" s="259"/>
      <c r="I47" s="190"/>
      <c r="J47" s="190"/>
      <c r="K47" s="190"/>
      <c r="L47" s="190"/>
      <c r="M47" s="190"/>
      <c r="N47" s="190"/>
      <c r="O47" s="190"/>
      <c r="P47" s="154"/>
      <c r="Q47" s="154"/>
      <c r="R47" s="154"/>
      <c r="S47" s="154"/>
      <c r="T47" s="295" t="s">
        <v>66</v>
      </c>
      <c r="U47" s="206">
        <v>0.13</v>
      </c>
      <c r="V47" s="422"/>
      <c r="W47" s="207">
        <v>0.13</v>
      </c>
      <c r="X47" s="296">
        <v>0.13</v>
      </c>
      <c r="Y47" s="297"/>
      <c r="Z47" s="331"/>
      <c r="AA47" s="154"/>
      <c r="AB47" s="298" t="s">
        <v>62</v>
      </c>
      <c r="AC47" s="204">
        <v>55.4</v>
      </c>
      <c r="AD47" s="422"/>
      <c r="AE47" s="231">
        <v>41.281500000000001</v>
      </c>
      <c r="AF47" s="299">
        <v>25</v>
      </c>
      <c r="AG47" s="314"/>
      <c r="AH47" s="301"/>
      <c r="AI47" s="154"/>
      <c r="AJ47" s="154"/>
    </row>
    <row r="48" spans="1:43" ht="28.5" x14ac:dyDescent="0.25">
      <c r="A48" s="311"/>
      <c r="B48" s="312"/>
      <c r="C48" s="312"/>
      <c r="D48" s="310"/>
      <c r="E48" s="310"/>
      <c r="F48" s="237"/>
      <c r="G48" s="249"/>
      <c r="H48" s="237"/>
      <c r="I48" s="190"/>
      <c r="J48" s="190"/>
      <c r="K48" s="190"/>
      <c r="L48" s="190"/>
      <c r="M48" s="190"/>
      <c r="N48" s="190"/>
      <c r="O48" s="190"/>
      <c r="P48" s="154"/>
      <c r="Q48" s="154"/>
      <c r="R48" s="154"/>
      <c r="S48" s="154"/>
      <c r="T48" s="298" t="s">
        <v>68</v>
      </c>
      <c r="U48" s="204" t="s">
        <v>63</v>
      </c>
      <c r="V48" s="422"/>
      <c r="W48" s="207">
        <v>0.3</v>
      </c>
      <c r="X48" s="314"/>
      <c r="Y48" s="297"/>
      <c r="Z48" s="331"/>
      <c r="AA48" s="154"/>
      <c r="AB48" s="340"/>
      <c r="AC48" s="341"/>
      <c r="AD48" s="341"/>
      <c r="AE48" s="341"/>
      <c r="AF48" s="342"/>
      <c r="AG48" s="342"/>
      <c r="AH48" s="340"/>
      <c r="AI48" s="154"/>
      <c r="AJ48" s="154"/>
    </row>
    <row r="49" spans="1:36" x14ac:dyDescent="0.25">
      <c r="A49" s="505" t="s">
        <v>57</v>
      </c>
      <c r="B49" s="509"/>
      <c r="C49" s="510"/>
      <c r="D49" s="518"/>
      <c r="E49" s="518"/>
      <c r="F49" s="506"/>
      <c r="G49" s="506"/>
      <c r="H49" s="507"/>
      <c r="I49" s="190"/>
      <c r="J49" s="190"/>
      <c r="K49" s="190"/>
      <c r="L49" s="190"/>
      <c r="M49" s="190"/>
      <c r="N49" s="190"/>
      <c r="O49" s="190"/>
      <c r="P49" s="154"/>
      <c r="Q49" s="154"/>
      <c r="R49" s="154"/>
      <c r="S49" s="154"/>
      <c r="T49" s="307"/>
      <c r="U49" s="341"/>
      <c r="V49" s="341"/>
      <c r="W49" s="341"/>
      <c r="X49" s="342"/>
      <c r="Y49" s="342"/>
      <c r="Z49" s="331"/>
      <c r="AA49" s="154"/>
      <c r="AB49" s="340"/>
      <c r="AC49" s="341"/>
      <c r="AD49" s="341"/>
      <c r="AE49" s="341"/>
      <c r="AF49" s="342"/>
      <c r="AG49" s="342"/>
      <c r="AH49" s="340"/>
      <c r="AI49" s="154"/>
      <c r="AJ49" s="154"/>
    </row>
    <row r="50" spans="1:36" ht="15.75" thickBot="1" x14ac:dyDescent="0.3">
      <c r="A50" s="311"/>
      <c r="B50" s="312"/>
      <c r="C50" s="312"/>
      <c r="D50" s="310"/>
      <c r="E50" s="310"/>
      <c r="F50" s="237"/>
      <c r="G50" s="249"/>
      <c r="H50" s="237"/>
      <c r="I50" s="190"/>
      <c r="J50" s="190"/>
      <c r="K50" s="190"/>
      <c r="L50" s="190"/>
      <c r="M50" s="190"/>
      <c r="N50" s="190"/>
      <c r="O50" s="190"/>
      <c r="P50" s="154"/>
      <c r="Q50" s="154"/>
      <c r="R50" s="154"/>
      <c r="S50" s="154"/>
      <c r="T50" s="307"/>
      <c r="U50" s="341"/>
      <c r="V50" s="341"/>
      <c r="W50" s="341"/>
      <c r="X50" s="342"/>
      <c r="Y50" s="342"/>
      <c r="Z50" s="331"/>
      <c r="AA50" s="154"/>
      <c r="AB50" s="307"/>
      <c r="AC50" s="462" t="s">
        <v>86</v>
      </c>
      <c r="AD50" s="462"/>
      <c r="AE50" s="462"/>
      <c r="AF50" s="462"/>
      <c r="AG50" s="466"/>
      <c r="AH50" s="307"/>
      <c r="AI50" s="154"/>
      <c r="AJ50" s="154"/>
    </row>
    <row r="51" spans="1:36" ht="45.75" customHeight="1" x14ac:dyDescent="0.25">
      <c r="A51" s="494" t="s">
        <v>50</v>
      </c>
      <c r="B51" s="495"/>
      <c r="C51" s="496"/>
      <c r="D51" s="494" t="s">
        <v>51</v>
      </c>
      <c r="E51" s="496"/>
      <c r="F51" s="494" t="s">
        <v>52</v>
      </c>
      <c r="G51" s="496"/>
      <c r="H51" s="500" t="s">
        <v>80</v>
      </c>
      <c r="I51" s="190"/>
      <c r="J51" s="190"/>
      <c r="K51" s="190"/>
      <c r="L51" s="190"/>
      <c r="M51" s="190"/>
      <c r="N51" s="190"/>
      <c r="O51" s="190"/>
      <c r="P51" s="154"/>
      <c r="Q51" s="154"/>
      <c r="R51" s="154"/>
      <c r="S51" s="154"/>
      <c r="T51" s="307"/>
      <c r="U51" s="462" t="s">
        <v>59</v>
      </c>
      <c r="V51" s="463"/>
      <c r="W51" s="463"/>
      <c r="X51" s="464"/>
      <c r="Y51" s="465"/>
      <c r="Z51" s="331"/>
      <c r="AA51" s="154"/>
      <c r="AB51" s="307"/>
      <c r="AC51" s="278" t="s">
        <v>50</v>
      </c>
      <c r="AD51" s="278" t="s">
        <v>51</v>
      </c>
      <c r="AE51" s="278" t="s">
        <v>52</v>
      </c>
      <c r="AF51" s="274" t="s">
        <v>78</v>
      </c>
      <c r="AG51" s="293"/>
      <c r="AH51" s="340"/>
      <c r="AI51" s="154"/>
      <c r="AJ51" s="154"/>
    </row>
    <row r="52" spans="1:36" ht="28.5" x14ac:dyDescent="0.25">
      <c r="A52" s="497"/>
      <c r="B52" s="498"/>
      <c r="C52" s="499"/>
      <c r="D52" s="497"/>
      <c r="E52" s="499"/>
      <c r="F52" s="497"/>
      <c r="G52" s="499"/>
      <c r="H52" s="501"/>
      <c r="I52" s="190"/>
      <c r="J52" s="190"/>
      <c r="K52" s="190"/>
      <c r="L52" s="190"/>
      <c r="M52" s="190"/>
      <c r="N52" s="190"/>
      <c r="O52" s="190"/>
      <c r="P52" s="154"/>
      <c r="Q52" s="154"/>
      <c r="R52" s="154"/>
      <c r="S52" s="154"/>
      <c r="T52" s="307"/>
      <c r="U52" s="278" t="s">
        <v>50</v>
      </c>
      <c r="V52" s="278" t="s">
        <v>51</v>
      </c>
      <c r="W52" s="278" t="s">
        <v>52</v>
      </c>
      <c r="X52" s="274" t="s">
        <v>78</v>
      </c>
      <c r="Y52" s="293"/>
      <c r="Z52" s="331"/>
      <c r="AA52" s="154"/>
      <c r="AB52" s="298" t="s">
        <v>62</v>
      </c>
      <c r="AC52" s="204" t="s">
        <v>63</v>
      </c>
      <c r="AD52" s="422"/>
      <c r="AE52" s="287"/>
      <c r="AF52" s="299">
        <v>8.1</v>
      </c>
      <c r="AG52" s="297"/>
      <c r="AH52" s="340"/>
      <c r="AI52" s="154"/>
      <c r="AJ52" s="154"/>
    </row>
    <row r="53" spans="1:36" ht="28.5" x14ac:dyDescent="0.25">
      <c r="A53" s="302" t="s">
        <v>11</v>
      </c>
      <c r="B53" s="298" t="s">
        <v>66</v>
      </c>
      <c r="C53" s="303" t="s">
        <v>67</v>
      </c>
      <c r="D53" s="304" t="s">
        <v>66</v>
      </c>
      <c r="E53" s="303" t="s">
        <v>67</v>
      </c>
      <c r="F53" s="304" t="s">
        <v>66</v>
      </c>
      <c r="G53" s="303" t="s">
        <v>67</v>
      </c>
      <c r="H53" s="305">
        <v>8</v>
      </c>
      <c r="I53" s="190"/>
      <c r="J53" s="190"/>
      <c r="K53" s="190"/>
      <c r="L53" s="190"/>
      <c r="M53" s="190"/>
      <c r="N53" s="190"/>
      <c r="O53" s="190"/>
      <c r="P53" s="154"/>
      <c r="Q53" s="154"/>
      <c r="R53" s="154"/>
      <c r="S53" s="154"/>
      <c r="T53" s="295" t="s">
        <v>66</v>
      </c>
      <c r="U53" s="546">
        <v>2.8124823338472198</v>
      </c>
      <c r="V53" s="422"/>
      <c r="W53" s="207">
        <v>4.2471996391823703</v>
      </c>
      <c r="X53" s="296">
        <v>0.13</v>
      </c>
      <c r="Y53" s="297"/>
      <c r="Z53" s="331"/>
      <c r="AA53" s="154"/>
      <c r="AB53" s="340"/>
      <c r="AC53" s="341"/>
      <c r="AD53" s="341"/>
      <c r="AE53" s="341"/>
      <c r="AF53" s="342"/>
      <c r="AG53" s="342"/>
      <c r="AH53" s="340"/>
      <c r="AI53" s="154"/>
      <c r="AJ53" s="154"/>
    </row>
    <row r="54" spans="1:36" ht="30" thickBot="1" x14ac:dyDescent="0.3">
      <c r="A54" s="247">
        <v>2022</v>
      </c>
      <c r="B54" s="545">
        <v>9.4435475583271398</v>
      </c>
      <c r="C54" s="553">
        <v>22.847053598834442</v>
      </c>
      <c r="D54" s="288">
        <v>8</v>
      </c>
      <c r="E54" s="357" t="s">
        <v>65</v>
      </c>
      <c r="F54" s="365">
        <v>7.5574682671888702</v>
      </c>
      <c r="G54" s="366">
        <v>17.98118655387346</v>
      </c>
      <c r="H54" s="240"/>
      <c r="I54" s="190"/>
      <c r="J54" s="190"/>
      <c r="K54" s="190"/>
      <c r="L54" s="190"/>
      <c r="M54" s="190"/>
      <c r="N54" s="190"/>
      <c r="O54" s="190"/>
      <c r="P54" s="154"/>
      <c r="Q54" s="154"/>
      <c r="R54" s="154"/>
      <c r="S54" s="154"/>
      <c r="T54" s="298" t="s">
        <v>68</v>
      </c>
      <c r="U54" s="546">
        <v>0.28268363441659999</v>
      </c>
      <c r="V54" s="422"/>
      <c r="W54" s="423"/>
      <c r="X54" s="314"/>
      <c r="Y54" s="297"/>
      <c r="Z54" s="331"/>
      <c r="AA54" s="154"/>
      <c r="AB54" s="307"/>
      <c r="AC54" s="462" t="s">
        <v>61</v>
      </c>
      <c r="AD54" s="462"/>
      <c r="AE54" s="462"/>
      <c r="AF54" s="462"/>
      <c r="AG54" s="462"/>
      <c r="AH54" s="340"/>
      <c r="AI54" s="154"/>
      <c r="AJ54" s="154"/>
    </row>
    <row r="55" spans="1:36" ht="42.75" x14ac:dyDescent="0.25">
      <c r="A55" s="311"/>
      <c r="B55" s="312"/>
      <c r="C55" s="312"/>
      <c r="D55" s="310"/>
      <c r="E55" s="310"/>
      <c r="F55" s="237"/>
      <c r="G55" s="249"/>
      <c r="H55" s="237"/>
      <c r="I55" s="190"/>
      <c r="J55" s="190"/>
      <c r="K55" s="190"/>
      <c r="L55" s="190"/>
      <c r="M55" s="190"/>
      <c r="N55" s="190"/>
      <c r="O55" s="190"/>
      <c r="P55" s="154"/>
      <c r="Q55" s="154"/>
      <c r="R55" s="154"/>
      <c r="S55" s="154"/>
      <c r="T55" s="307"/>
      <c r="U55" s="341"/>
      <c r="V55" s="341"/>
      <c r="W55" s="341"/>
      <c r="X55" s="342"/>
      <c r="Y55" s="342"/>
      <c r="Z55" s="331"/>
      <c r="AA55" s="154"/>
      <c r="AB55" s="307"/>
      <c r="AC55" s="278" t="s">
        <v>50</v>
      </c>
      <c r="AD55" s="278" t="s">
        <v>51</v>
      </c>
      <c r="AE55" s="278" t="s">
        <v>52</v>
      </c>
      <c r="AF55" s="274" t="s">
        <v>53</v>
      </c>
      <c r="AG55" s="274" t="s">
        <v>54</v>
      </c>
      <c r="AH55" s="340"/>
      <c r="AI55" s="154"/>
      <c r="AJ55" s="154"/>
    </row>
    <row r="56" spans="1:36" x14ac:dyDescent="0.25">
      <c r="A56" s="311"/>
      <c r="B56" s="312"/>
      <c r="C56" s="312"/>
      <c r="D56" s="310"/>
      <c r="E56" s="310"/>
      <c r="F56" s="237"/>
      <c r="G56" s="249"/>
      <c r="H56" s="237"/>
      <c r="I56" s="190"/>
      <c r="J56" s="190"/>
      <c r="K56" s="190"/>
      <c r="L56" s="190"/>
      <c r="M56" s="190"/>
      <c r="N56" s="190"/>
      <c r="O56" s="190"/>
      <c r="P56" s="154"/>
      <c r="Q56" s="154"/>
      <c r="R56" s="154"/>
      <c r="S56" s="154"/>
      <c r="T56" s="307"/>
      <c r="U56" s="341"/>
      <c r="V56" s="341"/>
      <c r="W56" s="341"/>
      <c r="X56" s="342"/>
      <c r="Y56" s="342"/>
      <c r="Z56" s="331"/>
      <c r="AA56" s="154"/>
      <c r="AB56" s="298" t="s">
        <v>62</v>
      </c>
      <c r="AC56" s="382">
        <v>36.53</v>
      </c>
      <c r="AD56" s="422"/>
      <c r="AE56" s="231">
        <v>14.234999999999999</v>
      </c>
      <c r="AF56" s="299">
        <v>25</v>
      </c>
      <c r="AG56" s="314"/>
      <c r="AH56" s="340"/>
      <c r="AI56" s="154"/>
      <c r="AJ56" s="154"/>
    </row>
    <row r="57" spans="1:36" x14ac:dyDescent="0.25">
      <c r="A57" s="505" t="s">
        <v>58</v>
      </c>
      <c r="B57" s="509"/>
      <c r="C57" s="510"/>
      <c r="D57" s="518"/>
      <c r="E57" s="518"/>
      <c r="F57" s="506"/>
      <c r="G57" s="506"/>
      <c r="H57" s="507"/>
      <c r="I57" s="190"/>
      <c r="J57" s="190"/>
      <c r="K57" s="190"/>
      <c r="L57" s="190"/>
      <c r="M57" s="190"/>
      <c r="N57" s="190"/>
      <c r="O57" s="190"/>
      <c r="P57" s="154"/>
      <c r="Q57" s="154"/>
      <c r="R57" s="154"/>
      <c r="S57" s="154"/>
      <c r="T57" s="307"/>
      <c r="U57" s="462" t="s">
        <v>60</v>
      </c>
      <c r="V57" s="463"/>
      <c r="W57" s="463"/>
      <c r="X57" s="464"/>
      <c r="Y57" s="465"/>
      <c r="Z57" s="331"/>
      <c r="AA57" s="154"/>
      <c r="AC57" s="154"/>
      <c r="AD57" s="154"/>
      <c r="AE57" s="154"/>
      <c r="AF57" s="154"/>
      <c r="AG57" s="154"/>
      <c r="AH57" s="307"/>
      <c r="AI57" s="154"/>
      <c r="AJ57" s="154"/>
    </row>
    <row r="58" spans="1:36" ht="29.25" thickBot="1" x14ac:dyDescent="0.3">
      <c r="A58" s="311"/>
      <c r="B58" s="312"/>
      <c r="C58" s="312"/>
      <c r="D58" s="310"/>
      <c r="E58" s="310"/>
      <c r="F58" s="237"/>
      <c r="G58" s="249"/>
      <c r="H58" s="237"/>
      <c r="I58" s="190"/>
      <c r="J58" s="190"/>
      <c r="K58" s="190"/>
      <c r="L58" s="190"/>
      <c r="M58" s="190"/>
      <c r="N58" s="190"/>
      <c r="O58" s="190"/>
      <c r="P58" s="154"/>
      <c r="Q58" s="154"/>
      <c r="R58" s="154"/>
      <c r="S58" s="154"/>
      <c r="T58" s="307"/>
      <c r="U58" s="278" t="s">
        <v>50</v>
      </c>
      <c r="V58" s="278" t="s">
        <v>51</v>
      </c>
      <c r="W58" s="278" t="s">
        <v>52</v>
      </c>
      <c r="X58" s="274" t="s">
        <v>78</v>
      </c>
      <c r="Y58" s="293"/>
      <c r="Z58" s="331"/>
      <c r="AA58" s="154"/>
      <c r="AC58" s="154"/>
      <c r="AD58" s="154"/>
      <c r="AE58" s="154"/>
      <c r="AF58" s="154"/>
      <c r="AG58" s="154"/>
      <c r="AH58" s="301"/>
      <c r="AI58" s="154"/>
      <c r="AJ58" s="154"/>
    </row>
    <row r="59" spans="1:36" ht="15" customHeight="1" x14ac:dyDescent="0.25">
      <c r="A59" s="494" t="s">
        <v>50</v>
      </c>
      <c r="B59" s="495"/>
      <c r="C59" s="496"/>
      <c r="D59" s="494" t="s">
        <v>51</v>
      </c>
      <c r="E59" s="496"/>
      <c r="F59" s="494" t="s">
        <v>52</v>
      </c>
      <c r="G59" s="496"/>
      <c r="H59" s="500" t="s">
        <v>80</v>
      </c>
      <c r="I59" s="190"/>
      <c r="J59" s="190"/>
      <c r="K59" s="190"/>
      <c r="L59" s="190"/>
      <c r="M59" s="190"/>
      <c r="N59" s="190"/>
      <c r="O59" s="190"/>
      <c r="P59" s="154"/>
      <c r="Q59" s="154"/>
      <c r="R59" s="154"/>
      <c r="S59" s="154"/>
      <c r="T59" s="295" t="s">
        <v>66</v>
      </c>
      <c r="U59" s="206">
        <v>1.56</v>
      </c>
      <c r="V59" s="422"/>
      <c r="W59" s="207">
        <v>1.56</v>
      </c>
      <c r="X59" s="296">
        <v>1.56</v>
      </c>
      <c r="Y59" s="297"/>
      <c r="Z59" s="331"/>
      <c r="AA59" s="154"/>
      <c r="AB59" s="307"/>
      <c r="AC59" s="462" t="s">
        <v>64</v>
      </c>
      <c r="AD59" s="462"/>
      <c r="AE59" s="462"/>
      <c r="AF59" s="462"/>
      <c r="AG59" s="466"/>
      <c r="AH59" s="301"/>
      <c r="AI59" s="154"/>
      <c r="AJ59" s="154"/>
    </row>
    <row r="60" spans="1:36" ht="42.75" x14ac:dyDescent="0.25">
      <c r="A60" s="497"/>
      <c r="B60" s="498"/>
      <c r="C60" s="499"/>
      <c r="D60" s="497"/>
      <c r="E60" s="499"/>
      <c r="F60" s="497"/>
      <c r="G60" s="499"/>
      <c r="H60" s="501"/>
      <c r="I60" s="190"/>
      <c r="J60" s="190"/>
      <c r="K60" s="190"/>
      <c r="L60" s="190"/>
      <c r="M60" s="190"/>
      <c r="N60" s="190"/>
      <c r="O60" s="190"/>
      <c r="P60" s="154"/>
      <c r="Q60" s="154"/>
      <c r="R60" s="154"/>
      <c r="S60" s="154"/>
      <c r="T60" s="298" t="s">
        <v>68</v>
      </c>
      <c r="U60" s="204" t="s">
        <v>63</v>
      </c>
      <c r="V60" s="422"/>
      <c r="W60" s="207">
        <v>2.13</v>
      </c>
      <c r="X60" s="314"/>
      <c r="Y60" s="297"/>
      <c r="Z60" s="331"/>
      <c r="AA60" s="154"/>
      <c r="AB60" s="307"/>
      <c r="AC60" s="278" t="s">
        <v>50</v>
      </c>
      <c r="AD60" s="278" t="s">
        <v>51</v>
      </c>
      <c r="AE60" s="278" t="s">
        <v>52</v>
      </c>
      <c r="AF60" s="274" t="s">
        <v>78</v>
      </c>
      <c r="AG60" s="293"/>
      <c r="AH60" s="340"/>
      <c r="AI60" s="154"/>
      <c r="AJ60" s="154"/>
    </row>
    <row r="61" spans="1:36" ht="28.5" x14ac:dyDescent="0.25">
      <c r="A61" s="302" t="s">
        <v>11</v>
      </c>
      <c r="B61" s="298" t="s">
        <v>66</v>
      </c>
      <c r="C61" s="303" t="s">
        <v>67</v>
      </c>
      <c r="D61" s="304" t="s">
        <v>66</v>
      </c>
      <c r="E61" s="303" t="s">
        <v>67</v>
      </c>
      <c r="F61" s="304" t="s">
        <v>66</v>
      </c>
      <c r="G61" s="303" t="s">
        <v>67</v>
      </c>
      <c r="H61" s="305">
        <v>5</v>
      </c>
      <c r="I61" s="190"/>
      <c r="J61" s="190"/>
      <c r="K61" s="190"/>
      <c r="L61" s="190"/>
      <c r="M61" s="190"/>
      <c r="N61" s="190"/>
      <c r="O61" s="190"/>
      <c r="P61" s="154"/>
      <c r="Q61" s="154"/>
      <c r="R61" s="154"/>
      <c r="S61" s="154"/>
      <c r="T61" s="307"/>
      <c r="U61" s="307"/>
      <c r="V61" s="335"/>
      <c r="W61" s="335"/>
      <c r="X61" s="307"/>
      <c r="Y61" s="307"/>
      <c r="Z61" s="331"/>
      <c r="AA61" s="154"/>
      <c r="AB61" s="298" t="s">
        <v>62</v>
      </c>
      <c r="AC61" s="382">
        <v>1.1357457278879897</v>
      </c>
      <c r="AD61" s="422"/>
      <c r="AE61" s="231">
        <v>0.89</v>
      </c>
      <c r="AF61" s="299">
        <v>0.82</v>
      </c>
      <c r="AG61" s="297"/>
      <c r="AH61" s="340"/>
      <c r="AI61" s="154"/>
      <c r="AJ61" s="154"/>
    </row>
    <row r="62" spans="1:36" ht="16.5" customHeight="1" thickBot="1" x14ac:dyDescent="0.3">
      <c r="A62" s="247">
        <v>2022</v>
      </c>
      <c r="B62" s="204">
        <v>5</v>
      </c>
      <c r="C62" s="204" t="s">
        <v>63</v>
      </c>
      <c r="D62" s="288">
        <v>5</v>
      </c>
      <c r="E62" s="357" t="s">
        <v>65</v>
      </c>
      <c r="F62" s="365">
        <v>5</v>
      </c>
      <c r="G62" s="366">
        <v>14</v>
      </c>
      <c r="H62" s="240"/>
      <c r="I62" s="190"/>
      <c r="J62" s="190"/>
      <c r="K62" s="190"/>
      <c r="L62" s="190"/>
      <c r="M62" s="190"/>
      <c r="N62" s="190"/>
      <c r="O62" s="190"/>
      <c r="P62" s="154"/>
      <c r="Q62" s="154"/>
      <c r="R62" s="154"/>
      <c r="S62" s="154"/>
      <c r="T62" s="307"/>
      <c r="U62" s="462" t="s">
        <v>61</v>
      </c>
      <c r="V62" s="463"/>
      <c r="W62" s="463"/>
      <c r="X62" s="464"/>
      <c r="Y62" s="465"/>
      <c r="Z62" s="331"/>
      <c r="AA62" s="154"/>
      <c r="AH62" s="307"/>
      <c r="AI62" s="154"/>
      <c r="AJ62" s="154"/>
    </row>
    <row r="63" spans="1:36" ht="28.5" x14ac:dyDescent="0.25">
      <c r="A63" s="311"/>
      <c r="B63" s="312"/>
      <c r="C63" s="312"/>
      <c r="D63" s="310"/>
      <c r="E63" s="310"/>
      <c r="F63" s="237"/>
      <c r="G63" s="249"/>
      <c r="H63" s="237"/>
      <c r="I63" s="190"/>
      <c r="J63" s="190"/>
      <c r="K63" s="190"/>
      <c r="L63" s="190"/>
      <c r="M63" s="190"/>
      <c r="N63" s="190"/>
      <c r="O63" s="190"/>
      <c r="P63" s="154"/>
      <c r="Q63" s="154"/>
      <c r="R63" s="154"/>
      <c r="S63" s="154"/>
      <c r="T63" s="307"/>
      <c r="U63" s="278" t="s">
        <v>50</v>
      </c>
      <c r="V63" s="278" t="s">
        <v>51</v>
      </c>
      <c r="W63" s="278" t="s">
        <v>52</v>
      </c>
      <c r="X63" s="274" t="s">
        <v>78</v>
      </c>
      <c r="Y63" s="293"/>
      <c r="Z63" s="331"/>
      <c r="AA63" s="154"/>
      <c r="AH63" s="340"/>
      <c r="AI63" s="154"/>
      <c r="AJ63" s="154"/>
    </row>
    <row r="64" spans="1:36" x14ac:dyDescent="0.25">
      <c r="A64" s="531" t="s">
        <v>59</v>
      </c>
      <c r="B64" s="532"/>
      <c r="C64" s="532"/>
      <c r="D64" s="532"/>
      <c r="E64" s="532"/>
      <c r="F64" s="532"/>
      <c r="G64" s="532"/>
      <c r="H64" s="533"/>
      <c r="I64" s="190"/>
      <c r="J64" s="190"/>
      <c r="K64" s="190"/>
      <c r="L64" s="190"/>
      <c r="M64" s="190"/>
      <c r="N64" s="190"/>
      <c r="O64" s="190"/>
      <c r="P64" s="154"/>
      <c r="Q64" s="154"/>
      <c r="R64" s="154"/>
      <c r="S64" s="154"/>
      <c r="T64" s="295" t="s">
        <v>66</v>
      </c>
      <c r="U64" s="395">
        <v>0.76</v>
      </c>
      <c r="V64" s="422"/>
      <c r="W64" s="207">
        <v>0.76</v>
      </c>
      <c r="X64" s="296">
        <v>0.76</v>
      </c>
      <c r="Y64" s="297"/>
      <c r="Z64" s="331"/>
      <c r="AA64" s="154"/>
      <c r="AB64" s="312"/>
      <c r="AC64" s="411"/>
      <c r="AD64" s="336"/>
      <c r="AE64" s="336"/>
      <c r="AF64" s="337"/>
      <c r="AG64" s="337"/>
      <c r="AH64" s="410"/>
      <c r="AI64" s="154"/>
      <c r="AJ64" s="154"/>
    </row>
    <row r="65" spans="1:36" ht="29.25" thickBot="1" x14ac:dyDescent="0.3">
      <c r="A65" s="311"/>
      <c r="B65" s="312"/>
      <c r="C65" s="312"/>
      <c r="D65" s="154"/>
      <c r="E65" s="310"/>
      <c r="F65" s="237"/>
      <c r="G65" s="249"/>
      <c r="H65" s="237"/>
      <c r="I65" s="190"/>
      <c r="J65" s="190"/>
      <c r="K65" s="190"/>
      <c r="L65" s="190"/>
      <c r="M65" s="190"/>
      <c r="N65" s="190"/>
      <c r="O65" s="190"/>
      <c r="P65" s="154"/>
      <c r="Q65" s="154"/>
      <c r="R65" s="154"/>
      <c r="S65" s="154"/>
      <c r="T65" s="298" t="s">
        <v>68</v>
      </c>
      <c r="U65" s="204" t="s">
        <v>63</v>
      </c>
      <c r="V65" s="422"/>
      <c r="W65" s="207">
        <v>0.94</v>
      </c>
      <c r="X65" s="314"/>
      <c r="Y65" s="297"/>
      <c r="Z65" s="331"/>
      <c r="AA65" s="154"/>
      <c r="AB65" s="312"/>
      <c r="AC65" s="341"/>
      <c r="AD65" s="341"/>
      <c r="AE65" s="341"/>
      <c r="AF65" s="342"/>
      <c r="AG65" s="342"/>
      <c r="AH65" s="340"/>
      <c r="AI65" s="154"/>
      <c r="AJ65" s="154"/>
    </row>
    <row r="66" spans="1:36" x14ac:dyDescent="0.25">
      <c r="A66" s="494" t="s">
        <v>50</v>
      </c>
      <c r="B66" s="495"/>
      <c r="C66" s="496"/>
      <c r="D66" s="494" t="s">
        <v>51</v>
      </c>
      <c r="E66" s="496"/>
      <c r="F66" s="494" t="s">
        <v>52</v>
      </c>
      <c r="G66" s="496"/>
      <c r="H66" s="500" t="s">
        <v>80</v>
      </c>
      <c r="I66" s="190"/>
      <c r="J66" s="190"/>
      <c r="K66" s="190"/>
      <c r="L66" s="190"/>
      <c r="M66" s="190"/>
      <c r="N66" s="190"/>
      <c r="O66" s="190"/>
      <c r="P66" s="154"/>
      <c r="Q66" s="154"/>
      <c r="R66" s="154"/>
      <c r="S66" s="154"/>
      <c r="T66" s="307"/>
      <c r="U66" s="307"/>
      <c r="V66" s="335"/>
      <c r="W66" s="335"/>
      <c r="X66" s="307"/>
      <c r="Y66" s="307"/>
      <c r="Z66" s="331"/>
      <c r="AA66" s="154"/>
      <c r="AB66" s="342"/>
      <c r="AC66" s="237"/>
      <c r="AD66" s="223"/>
      <c r="AE66" s="209"/>
      <c r="AF66" s="310"/>
      <c r="AG66" s="310"/>
      <c r="AH66" s="340"/>
      <c r="AI66" s="154"/>
      <c r="AJ66" s="154"/>
    </row>
    <row r="67" spans="1:36" x14ac:dyDescent="0.25">
      <c r="A67" s="497"/>
      <c r="B67" s="498"/>
      <c r="C67" s="499"/>
      <c r="D67" s="497"/>
      <c r="E67" s="499"/>
      <c r="F67" s="497"/>
      <c r="G67" s="499"/>
      <c r="H67" s="501"/>
      <c r="I67" s="190"/>
      <c r="J67" s="190"/>
      <c r="K67" s="190"/>
      <c r="L67" s="190"/>
      <c r="M67" s="190"/>
      <c r="N67" s="190"/>
      <c r="O67" s="190"/>
      <c r="P67" s="154"/>
      <c r="Q67" s="154"/>
      <c r="R67" s="154"/>
      <c r="S67" s="154"/>
      <c r="T67" s="307"/>
      <c r="U67" s="462" t="s">
        <v>64</v>
      </c>
      <c r="V67" s="463"/>
      <c r="W67" s="463"/>
      <c r="X67" s="464"/>
      <c r="Y67" s="465"/>
      <c r="Z67" s="331"/>
      <c r="AA67" s="154"/>
      <c r="AB67" s="342"/>
      <c r="AC67" s="237"/>
      <c r="AD67" s="223"/>
      <c r="AE67" s="209"/>
      <c r="AF67" s="310"/>
      <c r="AG67" s="310"/>
      <c r="AH67" s="340"/>
      <c r="AI67" s="154"/>
      <c r="AJ67" s="154"/>
    </row>
    <row r="68" spans="1:36" ht="28.5" x14ac:dyDescent="0.25">
      <c r="A68" s="302" t="s">
        <v>11</v>
      </c>
      <c r="B68" s="298" t="s">
        <v>66</v>
      </c>
      <c r="C68" s="303" t="s">
        <v>67</v>
      </c>
      <c r="D68" s="304" t="s">
        <v>66</v>
      </c>
      <c r="E68" s="303" t="s">
        <v>67</v>
      </c>
      <c r="F68" s="304" t="s">
        <v>66</v>
      </c>
      <c r="G68" s="303" t="s">
        <v>67</v>
      </c>
      <c r="H68" s="305">
        <v>1.5</v>
      </c>
      <c r="I68" s="190"/>
      <c r="J68" s="190"/>
      <c r="K68" s="190"/>
      <c r="L68" s="190"/>
      <c r="M68" s="190"/>
      <c r="N68" s="190"/>
      <c r="O68" s="190"/>
      <c r="P68" s="154"/>
      <c r="Q68" s="154"/>
      <c r="R68" s="154"/>
      <c r="S68" s="154"/>
      <c r="T68" s="307"/>
      <c r="U68" s="278" t="s">
        <v>50</v>
      </c>
      <c r="V68" s="278" t="s">
        <v>51</v>
      </c>
      <c r="W68" s="278" t="s">
        <v>52</v>
      </c>
      <c r="X68" s="274" t="s">
        <v>78</v>
      </c>
      <c r="Y68" s="293"/>
      <c r="Z68" s="331"/>
      <c r="AA68" s="154"/>
      <c r="AB68" s="312"/>
      <c r="AC68" s="341"/>
      <c r="AD68" s="341"/>
      <c r="AE68" s="341"/>
      <c r="AF68" s="342"/>
      <c r="AG68" s="342"/>
      <c r="AH68" s="340"/>
      <c r="AI68" s="154"/>
      <c r="AJ68" s="154"/>
    </row>
    <row r="69" spans="1:36" ht="15.75" thickBot="1" x14ac:dyDescent="0.3">
      <c r="A69" s="247">
        <v>2022</v>
      </c>
      <c r="B69" s="545">
        <v>1.5123622884610901</v>
      </c>
      <c r="C69" s="382">
        <v>33.606478640227792</v>
      </c>
      <c r="D69" s="288">
        <v>1.5</v>
      </c>
      <c r="E69" s="288" t="s">
        <v>65</v>
      </c>
      <c r="F69" s="358">
        <v>1.5</v>
      </c>
      <c r="G69" s="386">
        <v>27.378274218599479</v>
      </c>
      <c r="H69" s="240"/>
      <c r="I69" s="190"/>
      <c r="J69" s="190"/>
      <c r="K69" s="190"/>
      <c r="L69" s="190"/>
      <c r="M69" s="190"/>
      <c r="N69" s="190"/>
      <c r="O69" s="190"/>
      <c r="P69" s="154"/>
      <c r="Q69" s="154"/>
      <c r="R69" s="154"/>
      <c r="S69" s="154"/>
      <c r="T69" s="295" t="s">
        <v>66</v>
      </c>
      <c r="U69" s="206">
        <v>2.5000000000000001E-2</v>
      </c>
      <c r="V69" s="422"/>
      <c r="W69" s="207">
        <v>2.3548145289160001E-2</v>
      </c>
      <c r="X69" s="296">
        <v>0.02</v>
      </c>
      <c r="Y69" s="297"/>
      <c r="Z69" s="331"/>
      <c r="AA69" s="154"/>
      <c r="AB69" s="340"/>
      <c r="AC69" s="341"/>
      <c r="AD69" s="341"/>
      <c r="AE69" s="341"/>
      <c r="AF69" s="342"/>
      <c r="AG69" s="342"/>
      <c r="AH69" s="340"/>
      <c r="AI69" s="154"/>
      <c r="AJ69" s="154"/>
    </row>
    <row r="70" spans="1:36" ht="28.5" x14ac:dyDescent="0.25">
      <c r="A70" s="311"/>
      <c r="B70" s="312"/>
      <c r="C70" s="312"/>
      <c r="D70" s="310"/>
      <c r="E70" s="310"/>
      <c r="F70" s="237"/>
      <c r="G70" s="237"/>
      <c r="H70" s="312"/>
      <c r="I70" s="190"/>
      <c r="J70" s="190"/>
      <c r="K70" s="190"/>
      <c r="L70" s="190"/>
      <c r="M70" s="190"/>
      <c r="N70" s="190"/>
      <c r="O70" s="190"/>
      <c r="P70" s="154"/>
      <c r="Q70" s="154"/>
      <c r="R70" s="154"/>
      <c r="S70" s="154"/>
      <c r="T70" s="298" t="s">
        <v>68</v>
      </c>
      <c r="U70" s="204" t="s">
        <v>63</v>
      </c>
      <c r="V70" s="422"/>
      <c r="W70" s="207">
        <v>1.6183230657080001E-2</v>
      </c>
      <c r="X70" s="314"/>
      <c r="Y70" s="297"/>
      <c r="Z70" s="331"/>
      <c r="AA70" s="154"/>
      <c r="AB70" s="340"/>
      <c r="AC70" s="341"/>
      <c r="AD70" s="341"/>
      <c r="AE70" s="341"/>
      <c r="AF70" s="342"/>
      <c r="AG70" s="342"/>
      <c r="AH70" s="340"/>
      <c r="AI70" s="154"/>
      <c r="AJ70" s="154"/>
    </row>
    <row r="71" spans="1:36" x14ac:dyDescent="0.25">
      <c r="A71" s="311"/>
      <c r="B71" s="312"/>
      <c r="C71" s="312"/>
      <c r="D71" s="310"/>
      <c r="E71" s="310"/>
      <c r="F71" s="237"/>
      <c r="G71" s="237"/>
      <c r="H71" s="312"/>
      <c r="I71" s="190"/>
      <c r="J71" s="190"/>
      <c r="K71" s="190"/>
      <c r="L71" s="190"/>
      <c r="M71" s="190"/>
      <c r="N71" s="190"/>
      <c r="O71" s="190"/>
      <c r="P71" s="154"/>
      <c r="Q71" s="154"/>
      <c r="R71" s="154"/>
      <c r="S71" s="154"/>
      <c r="T71" s="307"/>
      <c r="U71" s="341"/>
      <c r="V71" s="341"/>
      <c r="W71" s="341"/>
      <c r="X71" s="342"/>
      <c r="Y71" s="342"/>
      <c r="Z71" s="331"/>
      <c r="AA71" s="154"/>
      <c r="AB71" s="340"/>
      <c r="AC71" s="341"/>
      <c r="AD71" s="341"/>
      <c r="AE71" s="341"/>
      <c r="AF71" s="342"/>
      <c r="AG71" s="342"/>
      <c r="AH71" s="340"/>
      <c r="AI71" s="154"/>
      <c r="AJ71" s="154"/>
    </row>
    <row r="72" spans="1:36" x14ac:dyDescent="0.25">
      <c r="A72" s="541" t="s">
        <v>60</v>
      </c>
      <c r="B72" s="510"/>
      <c r="C72" s="510"/>
      <c r="D72" s="510"/>
      <c r="E72" s="510"/>
      <c r="F72" s="510"/>
      <c r="G72" s="510"/>
      <c r="H72" s="542"/>
      <c r="I72" s="190"/>
      <c r="J72" s="190"/>
      <c r="K72" s="190"/>
      <c r="L72" s="190"/>
      <c r="M72" s="190"/>
      <c r="N72" s="190"/>
      <c r="O72" s="190"/>
      <c r="P72" s="154"/>
      <c r="Q72" s="154"/>
      <c r="R72" s="154"/>
      <c r="S72" s="154"/>
      <c r="T72" s="307"/>
      <c r="U72" s="341"/>
      <c r="V72" s="341"/>
      <c r="W72" s="341"/>
      <c r="X72" s="342"/>
      <c r="Y72" s="342"/>
      <c r="Z72" s="331"/>
      <c r="AA72" s="154"/>
      <c r="AB72" s="340"/>
      <c r="AC72" s="341"/>
      <c r="AD72" s="341"/>
      <c r="AE72" s="341"/>
      <c r="AF72" s="342"/>
      <c r="AG72" s="342"/>
      <c r="AH72" s="340"/>
      <c r="AI72" s="154"/>
      <c r="AJ72" s="154"/>
    </row>
    <row r="73" spans="1:36" ht="15.75" thickBot="1" x14ac:dyDescent="0.3">
      <c r="A73" s="343"/>
      <c r="B73" s="312"/>
      <c r="C73" s="312"/>
      <c r="D73" s="310"/>
      <c r="E73" s="310"/>
      <c r="F73" s="310"/>
      <c r="G73" s="310"/>
      <c r="H73" s="312"/>
      <c r="I73" s="248"/>
      <c r="J73" s="248"/>
      <c r="K73" s="248"/>
      <c r="L73" s="248"/>
      <c r="M73" s="248"/>
      <c r="N73" s="248"/>
      <c r="O73" s="190"/>
      <c r="P73" s="154"/>
      <c r="Q73" s="154"/>
      <c r="R73" s="154"/>
      <c r="S73" s="154"/>
      <c r="T73" s="307"/>
      <c r="U73" s="462" t="s">
        <v>86</v>
      </c>
      <c r="V73" s="463"/>
      <c r="W73" s="463"/>
      <c r="X73" s="464"/>
      <c r="Y73" s="465"/>
      <c r="Z73" s="331"/>
      <c r="AA73" s="154"/>
      <c r="AB73" s="340"/>
      <c r="AC73" s="341"/>
      <c r="AD73" s="341"/>
      <c r="AE73" s="341"/>
      <c r="AF73" s="342"/>
      <c r="AG73" s="342"/>
      <c r="AH73" s="340"/>
      <c r="AI73" s="154"/>
      <c r="AJ73" s="154"/>
    </row>
    <row r="74" spans="1:36" ht="15.75" customHeight="1" x14ac:dyDescent="0.25">
      <c r="A74" s="494" t="s">
        <v>50</v>
      </c>
      <c r="B74" s="495"/>
      <c r="C74" s="496"/>
      <c r="D74" s="494" t="s">
        <v>51</v>
      </c>
      <c r="E74" s="496"/>
      <c r="F74" s="494" t="s">
        <v>52</v>
      </c>
      <c r="G74" s="496"/>
      <c r="H74" s="500" t="s">
        <v>80</v>
      </c>
      <c r="I74" s="248"/>
      <c r="J74" s="248"/>
      <c r="K74" s="248"/>
      <c r="L74" s="248"/>
      <c r="M74" s="248"/>
      <c r="N74" s="248"/>
      <c r="O74" s="190"/>
      <c r="P74" s="154"/>
      <c r="Q74" s="154"/>
      <c r="R74" s="154"/>
      <c r="S74" s="154"/>
      <c r="T74" s="307"/>
      <c r="U74" s="278" t="s">
        <v>50</v>
      </c>
      <c r="V74" s="278" t="s">
        <v>51</v>
      </c>
      <c r="W74" s="278" t="s">
        <v>52</v>
      </c>
      <c r="X74" s="274" t="s">
        <v>78</v>
      </c>
      <c r="Y74" s="293"/>
      <c r="Z74" s="331"/>
      <c r="AA74" s="154"/>
      <c r="AB74" s="340"/>
      <c r="AC74" s="341"/>
      <c r="AD74" s="341"/>
      <c r="AE74" s="341"/>
      <c r="AF74" s="342"/>
      <c r="AG74" s="342"/>
      <c r="AH74" s="340"/>
      <c r="AI74" s="154"/>
      <c r="AJ74" s="154"/>
    </row>
    <row r="75" spans="1:36" x14ac:dyDescent="0.25">
      <c r="A75" s="497"/>
      <c r="B75" s="498"/>
      <c r="C75" s="499"/>
      <c r="D75" s="497"/>
      <c r="E75" s="499"/>
      <c r="F75" s="497"/>
      <c r="G75" s="499"/>
      <c r="H75" s="501"/>
      <c r="I75" s="248"/>
      <c r="J75" s="248"/>
      <c r="K75" s="248"/>
      <c r="L75" s="248"/>
      <c r="M75" s="248"/>
      <c r="N75" s="248"/>
      <c r="O75" s="190"/>
      <c r="P75" s="154"/>
      <c r="Q75" s="154"/>
      <c r="R75" s="154"/>
      <c r="S75" s="154"/>
      <c r="T75" s="295" t="s">
        <v>66</v>
      </c>
      <c r="U75" s="206">
        <v>0.08</v>
      </c>
      <c r="V75" s="422"/>
      <c r="W75" s="287"/>
      <c r="X75" s="296">
        <v>0.08</v>
      </c>
      <c r="Y75" s="297"/>
      <c r="Z75" s="331"/>
      <c r="AA75" s="154"/>
      <c r="AB75" s="340"/>
      <c r="AC75" s="341"/>
      <c r="AD75" s="341"/>
      <c r="AE75" s="341"/>
      <c r="AF75" s="342"/>
      <c r="AG75" s="342"/>
      <c r="AH75" s="340"/>
      <c r="AI75" s="154"/>
      <c r="AJ75" s="154"/>
    </row>
    <row r="76" spans="1:36" ht="15" customHeight="1" x14ac:dyDescent="0.25">
      <c r="A76" s="302" t="s">
        <v>11</v>
      </c>
      <c r="B76" s="298" t="s">
        <v>66</v>
      </c>
      <c r="C76" s="303" t="s">
        <v>67</v>
      </c>
      <c r="D76" s="304" t="s">
        <v>66</v>
      </c>
      <c r="E76" s="303" t="s">
        <v>67</v>
      </c>
      <c r="F76" s="304" t="s">
        <v>66</v>
      </c>
      <c r="G76" s="303" t="s">
        <v>67</v>
      </c>
      <c r="H76" s="305">
        <v>18</v>
      </c>
      <c r="I76" s="248"/>
      <c r="J76" s="248"/>
      <c r="K76" s="248"/>
      <c r="L76" s="248"/>
      <c r="M76" s="248"/>
      <c r="N76" s="248"/>
      <c r="O76" s="190"/>
      <c r="P76" s="154"/>
      <c r="Q76" s="154"/>
      <c r="R76" s="154"/>
      <c r="S76" s="154"/>
      <c r="T76" s="298" t="s">
        <v>68</v>
      </c>
      <c r="U76" s="204" t="s">
        <v>63</v>
      </c>
      <c r="V76" s="422"/>
      <c r="W76" s="287"/>
      <c r="X76" s="314"/>
      <c r="Y76" s="297"/>
      <c r="Z76" s="331"/>
      <c r="AA76" s="154"/>
      <c r="AB76" s="340"/>
      <c r="AC76" s="341"/>
      <c r="AD76" s="341"/>
      <c r="AE76" s="341"/>
      <c r="AF76" s="342"/>
      <c r="AG76" s="342"/>
      <c r="AH76" s="340"/>
      <c r="AI76" s="154"/>
      <c r="AJ76" s="154"/>
    </row>
    <row r="77" spans="1:36" ht="15.75" thickBot="1" x14ac:dyDescent="0.3">
      <c r="A77" s="247">
        <v>2022</v>
      </c>
      <c r="B77" s="204">
        <v>18</v>
      </c>
      <c r="C77" s="204" t="s">
        <v>63</v>
      </c>
      <c r="D77" s="288">
        <v>18</v>
      </c>
      <c r="E77" s="288" t="s">
        <v>65</v>
      </c>
      <c r="F77" s="358">
        <v>18</v>
      </c>
      <c r="G77" s="361">
        <v>110</v>
      </c>
      <c r="H77" s="240"/>
      <c r="I77" s="248"/>
      <c r="J77" s="248"/>
      <c r="K77" s="248"/>
      <c r="L77" s="248"/>
      <c r="M77" s="248"/>
      <c r="N77" s="248"/>
      <c r="O77" s="190"/>
      <c r="P77" s="154"/>
      <c r="Q77" s="154"/>
      <c r="R77" s="154"/>
      <c r="S77" s="154"/>
      <c r="T77" s="307"/>
      <c r="U77" s="341"/>
      <c r="V77" s="341"/>
      <c r="W77" s="341"/>
      <c r="X77" s="342"/>
      <c r="Y77" s="342"/>
      <c r="Z77" s="331"/>
      <c r="AA77" s="154"/>
      <c r="AB77" s="340"/>
      <c r="AC77" s="341"/>
      <c r="AD77" s="341"/>
      <c r="AE77" s="341"/>
      <c r="AF77" s="342"/>
      <c r="AG77" s="342"/>
      <c r="AH77" s="340"/>
      <c r="AI77" s="154"/>
      <c r="AJ77" s="154"/>
    </row>
    <row r="78" spans="1:36" x14ac:dyDescent="0.25">
      <c r="A78" s="311"/>
      <c r="B78" s="312"/>
      <c r="C78" s="312"/>
      <c r="D78" s="223"/>
      <c r="E78" s="223"/>
      <c r="F78" s="245"/>
      <c r="G78" s="248"/>
      <c r="H78" s="237"/>
      <c r="I78" s="248"/>
      <c r="J78" s="248"/>
      <c r="K78" s="248"/>
      <c r="L78" s="248"/>
      <c r="M78" s="248"/>
      <c r="N78" s="248"/>
      <c r="O78" s="190"/>
      <c r="P78" s="154"/>
      <c r="Q78" s="154"/>
      <c r="R78" s="154"/>
      <c r="S78" s="154"/>
      <c r="T78" s="307"/>
      <c r="U78" s="341"/>
      <c r="V78" s="341"/>
      <c r="W78" s="341"/>
      <c r="X78" s="342"/>
      <c r="Y78" s="342"/>
      <c r="Z78" s="331"/>
      <c r="AA78" s="154"/>
      <c r="AB78" s="340"/>
      <c r="AC78" s="341"/>
      <c r="AD78" s="341"/>
      <c r="AE78" s="341"/>
      <c r="AF78" s="342"/>
      <c r="AG78" s="342"/>
      <c r="AH78" s="340"/>
      <c r="AI78" s="154"/>
      <c r="AJ78" s="154"/>
    </row>
    <row r="79" spans="1:36" x14ac:dyDescent="0.25">
      <c r="A79" s="311"/>
      <c r="B79" s="312"/>
      <c r="C79" s="312"/>
      <c r="D79" s="310"/>
      <c r="E79" s="310"/>
      <c r="F79" s="237"/>
      <c r="G79" s="249"/>
      <c r="H79" s="237"/>
      <c r="I79" s="248"/>
      <c r="J79" s="248"/>
      <c r="K79" s="248"/>
      <c r="L79" s="248"/>
      <c r="M79" s="248"/>
      <c r="N79" s="248"/>
      <c r="O79" s="190"/>
      <c r="P79" s="154"/>
      <c r="Q79" s="154"/>
      <c r="R79" s="154"/>
      <c r="S79" s="154"/>
      <c r="T79" s="307"/>
      <c r="U79" s="341"/>
      <c r="V79" s="341"/>
      <c r="W79" s="341"/>
      <c r="X79" s="342"/>
      <c r="Y79" s="342"/>
      <c r="Z79" s="331"/>
      <c r="AA79" s="154"/>
      <c r="AB79" s="340"/>
      <c r="AC79" s="341"/>
      <c r="AD79" s="341"/>
      <c r="AE79" s="341"/>
      <c r="AF79" s="342"/>
      <c r="AG79" s="342"/>
      <c r="AH79" s="340"/>
      <c r="AI79" s="154"/>
      <c r="AJ79" s="154"/>
    </row>
    <row r="80" spans="1:36" ht="15" customHeight="1" x14ac:dyDescent="0.25">
      <c r="A80" s="505" t="s">
        <v>61</v>
      </c>
      <c r="B80" s="509"/>
      <c r="C80" s="510"/>
      <c r="D80" s="518"/>
      <c r="E80" s="518"/>
      <c r="F80" s="518"/>
      <c r="G80" s="518"/>
      <c r="H80" s="520"/>
      <c r="I80" s="248"/>
      <c r="J80" s="248"/>
      <c r="K80" s="248"/>
      <c r="L80" s="248"/>
      <c r="M80" s="248"/>
      <c r="N80" s="248"/>
      <c r="O80" s="190"/>
      <c r="P80" s="154"/>
      <c r="Q80" s="154"/>
      <c r="R80" s="154"/>
      <c r="S80" s="154"/>
      <c r="T80" s="307"/>
      <c r="U80" s="341"/>
      <c r="V80" s="341"/>
      <c r="W80" s="341"/>
      <c r="X80" s="342"/>
      <c r="Y80" s="342"/>
      <c r="Z80" s="331"/>
      <c r="AA80" s="154"/>
      <c r="AB80" s="340"/>
      <c r="AC80" s="341"/>
      <c r="AD80" s="341"/>
      <c r="AE80" s="341"/>
      <c r="AF80" s="342"/>
      <c r="AG80" s="342"/>
      <c r="AH80" s="340"/>
      <c r="AI80" s="154"/>
      <c r="AJ80" s="154"/>
    </row>
    <row r="81" spans="1:36" ht="15.75" thickBot="1" x14ac:dyDescent="0.3">
      <c r="A81" s="311"/>
      <c r="B81" s="312"/>
      <c r="C81" s="312"/>
      <c r="D81" s="310"/>
      <c r="E81" s="310"/>
      <c r="F81" s="237"/>
      <c r="G81" s="249"/>
      <c r="H81" s="237"/>
      <c r="I81" s="248"/>
      <c r="J81" s="248"/>
      <c r="K81" s="248"/>
      <c r="L81" s="248"/>
      <c r="M81" s="248"/>
      <c r="N81" s="248"/>
      <c r="O81" s="190"/>
      <c r="P81" s="154"/>
      <c r="Q81" s="154"/>
      <c r="R81" s="154"/>
      <c r="S81" s="154"/>
      <c r="T81" s="307"/>
      <c r="U81" s="341"/>
      <c r="V81" s="341"/>
      <c r="W81" s="341"/>
      <c r="X81" s="342"/>
      <c r="Y81" s="342"/>
      <c r="Z81" s="331"/>
      <c r="AA81" s="154"/>
      <c r="AB81" s="340"/>
      <c r="AC81" s="341"/>
      <c r="AD81" s="341"/>
      <c r="AE81" s="341"/>
      <c r="AF81" s="342"/>
      <c r="AG81" s="342"/>
      <c r="AH81" s="340"/>
      <c r="AI81" s="154"/>
      <c r="AJ81" s="154"/>
    </row>
    <row r="82" spans="1:36" ht="15" customHeight="1" x14ac:dyDescent="0.25">
      <c r="A82" s="494" t="s">
        <v>50</v>
      </c>
      <c r="B82" s="495"/>
      <c r="C82" s="496"/>
      <c r="D82" s="494" t="s">
        <v>51</v>
      </c>
      <c r="E82" s="496"/>
      <c r="F82" s="494" t="s">
        <v>52</v>
      </c>
      <c r="G82" s="496"/>
      <c r="H82" s="500" t="s">
        <v>80</v>
      </c>
      <c r="I82" s="248"/>
      <c r="J82" s="248"/>
      <c r="K82" s="248"/>
      <c r="L82" s="248"/>
      <c r="M82" s="248"/>
      <c r="N82" s="248"/>
      <c r="O82" s="190"/>
      <c r="P82" s="154"/>
      <c r="Q82" s="154"/>
      <c r="R82" s="154"/>
      <c r="S82" s="154"/>
      <c r="T82" s="307"/>
      <c r="U82" s="341"/>
      <c r="V82" s="341"/>
      <c r="W82" s="341"/>
      <c r="X82" s="342"/>
      <c r="Y82" s="342"/>
      <c r="Z82" s="331"/>
      <c r="AA82" s="154"/>
      <c r="AB82" s="340"/>
      <c r="AC82" s="341"/>
      <c r="AD82" s="341"/>
      <c r="AE82" s="341"/>
      <c r="AF82" s="342"/>
      <c r="AG82" s="342"/>
      <c r="AH82" s="340"/>
      <c r="AI82" s="154"/>
      <c r="AJ82" s="154"/>
    </row>
    <row r="83" spans="1:36" x14ac:dyDescent="0.25">
      <c r="A83" s="497"/>
      <c r="B83" s="498"/>
      <c r="C83" s="499"/>
      <c r="D83" s="497"/>
      <c r="E83" s="499"/>
      <c r="F83" s="497"/>
      <c r="G83" s="499"/>
      <c r="H83" s="501"/>
      <c r="I83" s="248"/>
      <c r="J83" s="248"/>
      <c r="K83" s="248"/>
      <c r="L83" s="248"/>
      <c r="M83" s="248"/>
      <c r="N83" s="248"/>
      <c r="O83" s="190"/>
      <c r="P83" s="154"/>
      <c r="Q83" s="154"/>
      <c r="R83" s="154"/>
      <c r="S83" s="154"/>
      <c r="T83" s="307"/>
      <c r="U83" s="341"/>
      <c r="V83" s="341"/>
      <c r="W83" s="341"/>
      <c r="X83" s="342"/>
      <c r="Y83" s="342"/>
      <c r="Z83" s="331"/>
      <c r="AA83" s="154"/>
      <c r="AB83" s="340"/>
      <c r="AC83" s="341"/>
      <c r="AD83" s="341"/>
      <c r="AE83" s="341"/>
      <c r="AF83" s="342"/>
      <c r="AG83" s="342"/>
      <c r="AH83" s="340"/>
      <c r="AI83" s="154"/>
      <c r="AJ83" s="154"/>
    </row>
    <row r="84" spans="1:36" ht="28.5" x14ac:dyDescent="0.25">
      <c r="A84" s="302" t="s">
        <v>11</v>
      </c>
      <c r="B84" s="298" t="s">
        <v>66</v>
      </c>
      <c r="C84" s="303" t="s">
        <v>67</v>
      </c>
      <c r="D84" s="304" t="s">
        <v>66</v>
      </c>
      <c r="E84" s="303" t="s">
        <v>67</v>
      </c>
      <c r="F84" s="304" t="s">
        <v>66</v>
      </c>
      <c r="G84" s="303" t="s">
        <v>67</v>
      </c>
      <c r="H84" s="305">
        <v>10</v>
      </c>
      <c r="I84" s="248"/>
      <c r="J84" s="248"/>
      <c r="K84" s="248"/>
      <c r="L84" s="248"/>
      <c r="M84" s="248"/>
      <c r="N84" s="248"/>
      <c r="O84" s="190"/>
      <c r="P84" s="154"/>
      <c r="Q84" s="154"/>
      <c r="R84" s="154"/>
      <c r="S84" s="154"/>
      <c r="T84" s="307"/>
      <c r="U84" s="341"/>
      <c r="V84" s="341"/>
      <c r="W84" s="341"/>
      <c r="X84" s="342"/>
      <c r="Y84" s="342"/>
      <c r="Z84" s="331"/>
      <c r="AA84" s="154"/>
      <c r="AB84" s="340"/>
      <c r="AC84" s="341"/>
      <c r="AD84" s="341"/>
      <c r="AE84" s="341"/>
      <c r="AF84" s="342"/>
      <c r="AG84" s="342"/>
      <c r="AH84" s="340"/>
      <c r="AI84" s="154"/>
      <c r="AJ84" s="154"/>
    </row>
    <row r="85" spans="1:36" ht="15.75" thickBot="1" x14ac:dyDescent="0.3">
      <c r="A85" s="247">
        <v>2022</v>
      </c>
      <c r="B85" s="204">
        <v>10</v>
      </c>
      <c r="C85" s="204" t="s">
        <v>63</v>
      </c>
      <c r="D85" s="288">
        <v>10</v>
      </c>
      <c r="E85" s="288" t="s">
        <v>65</v>
      </c>
      <c r="F85" s="358">
        <v>10</v>
      </c>
      <c r="G85" s="359">
        <v>60</v>
      </c>
      <c r="H85" s="240"/>
      <c r="I85" s="248"/>
      <c r="J85" s="248"/>
      <c r="K85" s="248"/>
      <c r="L85" s="248"/>
      <c r="M85" s="248"/>
      <c r="N85" s="248"/>
      <c r="O85" s="190"/>
      <c r="P85" s="154"/>
      <c r="Q85" s="154"/>
      <c r="R85" s="154"/>
      <c r="S85" s="154"/>
      <c r="T85" s="307"/>
      <c r="U85" s="341"/>
      <c r="V85" s="341"/>
      <c r="W85" s="341"/>
      <c r="X85" s="342"/>
      <c r="Y85" s="342"/>
      <c r="Z85" s="331"/>
      <c r="AA85" s="154"/>
      <c r="AB85" s="340"/>
      <c r="AC85" s="341"/>
      <c r="AD85" s="341"/>
      <c r="AE85" s="341"/>
      <c r="AF85" s="342"/>
      <c r="AG85" s="342"/>
      <c r="AH85" s="340"/>
      <c r="AI85" s="154"/>
      <c r="AJ85" s="154"/>
    </row>
    <row r="86" spans="1:36" x14ac:dyDescent="0.25">
      <c r="A86" s="311"/>
      <c r="B86" s="312"/>
      <c r="C86" s="312"/>
      <c r="D86" s="310"/>
      <c r="E86" s="310"/>
      <c r="F86" s="237"/>
      <c r="G86" s="249"/>
      <c r="H86" s="237"/>
      <c r="I86" s="248"/>
      <c r="J86" s="248"/>
      <c r="K86" s="248"/>
      <c r="L86" s="248"/>
      <c r="M86" s="248"/>
      <c r="N86" s="248"/>
      <c r="O86" s="190"/>
      <c r="P86" s="154"/>
      <c r="Q86" s="154"/>
      <c r="R86" s="154"/>
      <c r="S86" s="154"/>
      <c r="T86" s="307"/>
      <c r="U86" s="341"/>
      <c r="V86" s="341"/>
      <c r="W86" s="341"/>
      <c r="X86" s="342"/>
      <c r="Y86" s="342"/>
      <c r="Z86" s="331"/>
      <c r="AA86" s="154"/>
      <c r="AB86" s="340"/>
      <c r="AC86" s="341"/>
      <c r="AD86" s="341"/>
      <c r="AE86" s="341"/>
      <c r="AF86" s="342"/>
      <c r="AG86" s="342"/>
      <c r="AH86" s="340"/>
      <c r="AI86" s="154"/>
      <c r="AJ86" s="154"/>
    </row>
    <row r="87" spans="1:36" x14ac:dyDescent="0.25">
      <c r="A87" s="311"/>
      <c r="B87" s="312"/>
      <c r="C87" s="312"/>
      <c r="D87" s="310"/>
      <c r="E87" s="310"/>
      <c r="F87" s="237"/>
      <c r="G87" s="249"/>
      <c r="H87" s="237"/>
      <c r="I87" s="248"/>
      <c r="J87" s="248"/>
      <c r="K87" s="248"/>
      <c r="L87" s="248"/>
      <c r="M87" s="248"/>
      <c r="N87" s="248"/>
      <c r="O87" s="190"/>
      <c r="P87" s="154"/>
      <c r="Q87" s="154"/>
      <c r="R87" s="154"/>
      <c r="S87" s="154"/>
      <c r="T87" s="307"/>
      <c r="U87" s="341"/>
      <c r="V87" s="341"/>
      <c r="W87" s="341"/>
      <c r="X87" s="342"/>
      <c r="Y87" s="342"/>
      <c r="Z87" s="331"/>
      <c r="AA87" s="154"/>
      <c r="AB87" s="340"/>
      <c r="AC87" s="341"/>
      <c r="AD87" s="341"/>
      <c r="AE87" s="341"/>
      <c r="AF87" s="342"/>
      <c r="AG87" s="342"/>
      <c r="AH87" s="340"/>
      <c r="AI87" s="154"/>
      <c r="AJ87" s="154"/>
    </row>
    <row r="88" spans="1:36" x14ac:dyDescent="0.25">
      <c r="A88" s="505" t="s">
        <v>64</v>
      </c>
      <c r="B88" s="518"/>
      <c r="C88" s="518"/>
      <c r="D88" s="518"/>
      <c r="E88" s="518"/>
      <c r="F88" s="518"/>
      <c r="G88" s="518"/>
      <c r="H88" s="520"/>
      <c r="I88" s="248"/>
      <c r="J88" s="248"/>
      <c r="K88" s="248"/>
      <c r="L88" s="248"/>
      <c r="M88" s="248"/>
      <c r="N88" s="248"/>
      <c r="O88" s="190"/>
      <c r="P88" s="154"/>
      <c r="Q88" s="154"/>
      <c r="R88" s="154"/>
      <c r="S88" s="154"/>
      <c r="T88" s="307"/>
      <c r="U88" s="341"/>
      <c r="V88" s="341"/>
      <c r="W88" s="341"/>
      <c r="X88" s="342"/>
      <c r="Y88" s="342"/>
      <c r="Z88" s="331"/>
      <c r="AA88" s="154"/>
      <c r="AB88" s="340"/>
      <c r="AC88" s="341"/>
      <c r="AD88" s="341"/>
      <c r="AE88" s="341"/>
      <c r="AF88" s="342"/>
      <c r="AG88" s="342"/>
      <c r="AH88" s="340"/>
      <c r="AI88" s="154"/>
      <c r="AJ88" s="154"/>
    </row>
    <row r="89" spans="1:36" ht="15.75" thickBot="1" x14ac:dyDescent="0.3">
      <c r="A89" s="311"/>
      <c r="B89" s="312"/>
      <c r="C89" s="312"/>
      <c r="D89" s="310"/>
      <c r="E89" s="310"/>
      <c r="F89" s="237"/>
      <c r="G89" s="249"/>
      <c r="H89" s="237"/>
      <c r="I89" s="248"/>
      <c r="J89" s="248"/>
      <c r="K89" s="248"/>
      <c r="L89" s="248"/>
      <c r="M89" s="248"/>
      <c r="N89" s="248"/>
      <c r="O89" s="190"/>
      <c r="P89" s="154"/>
      <c r="Q89" s="154"/>
      <c r="R89" s="154"/>
      <c r="S89" s="154"/>
      <c r="T89" s="307"/>
      <c r="U89" s="341"/>
      <c r="V89" s="341"/>
      <c r="W89" s="341"/>
      <c r="X89" s="342"/>
      <c r="Y89" s="342"/>
      <c r="Z89" s="331"/>
      <c r="AA89" s="154"/>
      <c r="AB89" s="340"/>
      <c r="AC89" s="341"/>
      <c r="AD89" s="341"/>
      <c r="AE89" s="341"/>
      <c r="AF89" s="342"/>
      <c r="AG89" s="342"/>
      <c r="AH89" s="340"/>
      <c r="AI89" s="154"/>
      <c r="AJ89" s="154"/>
    </row>
    <row r="90" spans="1:36" x14ac:dyDescent="0.25">
      <c r="A90" s="494" t="s">
        <v>50</v>
      </c>
      <c r="B90" s="495"/>
      <c r="C90" s="496"/>
      <c r="D90" s="494" t="s">
        <v>51</v>
      </c>
      <c r="E90" s="496"/>
      <c r="F90" s="494" t="s">
        <v>52</v>
      </c>
      <c r="G90" s="496"/>
      <c r="H90" s="500" t="s">
        <v>80</v>
      </c>
      <c r="I90" s="248"/>
      <c r="J90" s="248"/>
      <c r="K90" s="248"/>
      <c r="L90" s="248"/>
      <c r="M90" s="248"/>
      <c r="N90" s="248"/>
      <c r="O90" s="190"/>
      <c r="P90" s="154"/>
      <c r="Q90" s="154"/>
      <c r="R90" s="154"/>
      <c r="S90" s="154"/>
      <c r="T90" s="307"/>
      <c r="U90" s="341"/>
      <c r="V90" s="341"/>
      <c r="W90" s="341"/>
      <c r="X90" s="342"/>
      <c r="Y90" s="342"/>
      <c r="Z90" s="331"/>
      <c r="AA90" s="154"/>
      <c r="AB90" s="340"/>
      <c r="AC90" s="341"/>
      <c r="AD90" s="341"/>
      <c r="AE90" s="341"/>
      <c r="AF90" s="342"/>
      <c r="AG90" s="342"/>
      <c r="AH90" s="340"/>
      <c r="AI90" s="154"/>
      <c r="AJ90" s="154"/>
    </row>
    <row r="91" spans="1:36" x14ac:dyDescent="0.25">
      <c r="A91" s="497"/>
      <c r="B91" s="498"/>
      <c r="C91" s="499"/>
      <c r="D91" s="497"/>
      <c r="E91" s="499"/>
      <c r="F91" s="497"/>
      <c r="G91" s="499"/>
      <c r="H91" s="501"/>
      <c r="I91" s="248"/>
      <c r="J91" s="248"/>
      <c r="K91" s="248"/>
      <c r="L91" s="248"/>
      <c r="M91" s="248"/>
      <c r="N91" s="248"/>
      <c r="O91" s="190"/>
      <c r="P91" s="154"/>
      <c r="Q91" s="154"/>
      <c r="R91" s="154"/>
      <c r="S91" s="154"/>
      <c r="T91" s="307"/>
      <c r="U91" s="341"/>
      <c r="V91" s="341"/>
      <c r="W91" s="341"/>
      <c r="X91" s="342"/>
      <c r="Y91" s="342"/>
      <c r="Z91" s="331"/>
      <c r="AA91" s="154"/>
      <c r="AB91" s="340"/>
      <c r="AC91" s="341"/>
      <c r="AD91" s="341"/>
      <c r="AE91" s="341"/>
      <c r="AF91" s="342"/>
      <c r="AG91" s="342"/>
      <c r="AH91" s="340"/>
      <c r="AI91" s="154"/>
      <c r="AJ91" s="154"/>
    </row>
    <row r="92" spans="1:36" ht="28.5" x14ac:dyDescent="0.25">
      <c r="A92" s="302" t="s">
        <v>11</v>
      </c>
      <c r="B92" s="298" t="s">
        <v>66</v>
      </c>
      <c r="C92" s="303" t="s">
        <v>67</v>
      </c>
      <c r="D92" s="304" t="s">
        <v>66</v>
      </c>
      <c r="E92" s="303" t="s">
        <v>67</v>
      </c>
      <c r="F92" s="304" t="s">
        <v>66</v>
      </c>
      <c r="G92" s="303" t="s">
        <v>67</v>
      </c>
      <c r="H92" s="305" t="s">
        <v>63</v>
      </c>
      <c r="I92" s="248"/>
      <c r="J92" s="248"/>
      <c r="K92" s="248"/>
      <c r="L92" s="248"/>
      <c r="M92" s="248"/>
      <c r="N92" s="248"/>
      <c r="O92" s="190"/>
      <c r="P92" s="154"/>
      <c r="Q92" s="154"/>
      <c r="R92" s="154"/>
      <c r="S92" s="154"/>
      <c r="T92" s="307"/>
      <c r="U92" s="341"/>
      <c r="V92" s="341"/>
      <c r="W92" s="341"/>
      <c r="X92" s="342"/>
      <c r="Y92" s="342"/>
      <c r="Z92" s="331"/>
      <c r="AA92" s="154"/>
      <c r="AB92" s="340"/>
      <c r="AC92" s="341"/>
      <c r="AD92" s="341"/>
      <c r="AE92" s="341"/>
      <c r="AF92" s="342"/>
      <c r="AG92" s="342"/>
      <c r="AH92" s="340"/>
      <c r="AI92" s="154"/>
      <c r="AJ92" s="154"/>
    </row>
    <row r="93" spans="1:36" ht="15.75" thickBot="1" x14ac:dyDescent="0.3">
      <c r="A93" s="247">
        <v>2022</v>
      </c>
      <c r="B93" s="204" t="s">
        <v>88</v>
      </c>
      <c r="C93" s="204" t="s">
        <v>63</v>
      </c>
      <c r="D93" s="288">
        <v>1.4999999999999999E-2</v>
      </c>
      <c r="E93" s="288" t="s">
        <v>65</v>
      </c>
      <c r="F93" s="358" t="s">
        <v>63</v>
      </c>
      <c r="G93" s="359" t="s">
        <v>63</v>
      </c>
      <c r="H93" s="240"/>
      <c r="I93" s="248"/>
      <c r="J93" s="248"/>
      <c r="K93" s="248"/>
      <c r="L93" s="248"/>
      <c r="M93" s="248"/>
      <c r="N93" s="248"/>
      <c r="O93" s="190"/>
      <c r="P93" s="154"/>
      <c r="Q93" s="154"/>
      <c r="R93" s="154"/>
      <c r="S93" s="154"/>
      <c r="T93" s="307"/>
      <c r="U93" s="341"/>
      <c r="V93" s="341"/>
      <c r="W93" s="341"/>
      <c r="X93" s="342"/>
      <c r="Y93" s="342"/>
      <c r="Z93" s="331"/>
      <c r="AA93" s="154"/>
      <c r="AB93" s="340"/>
      <c r="AC93" s="341"/>
      <c r="AD93" s="341"/>
      <c r="AE93" s="341"/>
      <c r="AF93" s="342"/>
      <c r="AG93" s="342"/>
      <c r="AH93" s="340"/>
      <c r="AI93" s="154"/>
      <c r="AJ93" s="154"/>
    </row>
    <row r="94" spans="1:36" x14ac:dyDescent="0.25">
      <c r="A94" s="311"/>
      <c r="B94" s="312"/>
      <c r="C94" s="312"/>
      <c r="D94" s="310"/>
      <c r="E94" s="310"/>
      <c r="F94" s="237"/>
      <c r="G94" s="249"/>
      <c r="H94" s="237"/>
      <c r="I94" s="248"/>
      <c r="J94" s="248"/>
      <c r="K94" s="248"/>
      <c r="L94" s="248"/>
      <c r="M94" s="248"/>
      <c r="N94" s="248"/>
      <c r="O94" s="190"/>
      <c r="P94" s="154"/>
      <c r="Q94" s="154"/>
      <c r="R94" s="154"/>
      <c r="S94" s="154"/>
      <c r="T94" s="307"/>
      <c r="U94" s="341"/>
      <c r="V94" s="341"/>
      <c r="W94" s="341"/>
      <c r="X94" s="342"/>
      <c r="Y94" s="342"/>
      <c r="Z94" s="331"/>
      <c r="AA94" s="154"/>
      <c r="AB94" s="340"/>
      <c r="AC94" s="341"/>
      <c r="AD94" s="341"/>
      <c r="AE94" s="341"/>
      <c r="AF94" s="342"/>
      <c r="AG94" s="342"/>
      <c r="AH94" s="340"/>
      <c r="AI94" s="154"/>
      <c r="AJ94" s="154"/>
    </row>
    <row r="95" spans="1:36" x14ac:dyDescent="0.25">
      <c r="A95" s="311"/>
      <c r="B95" s="312"/>
      <c r="C95" s="312"/>
      <c r="D95" s="310"/>
      <c r="E95" s="310"/>
      <c r="F95" s="237"/>
      <c r="G95" s="249"/>
      <c r="H95" s="237"/>
      <c r="I95" s="248"/>
      <c r="J95" s="248"/>
      <c r="K95" s="248"/>
      <c r="L95" s="248"/>
      <c r="M95" s="248"/>
      <c r="N95" s="248"/>
      <c r="O95" s="190"/>
      <c r="P95" s="154"/>
      <c r="Q95" s="154"/>
      <c r="R95" s="154"/>
      <c r="S95" s="154"/>
      <c r="T95" s="307"/>
      <c r="U95" s="341"/>
      <c r="V95" s="341"/>
      <c r="W95" s="341"/>
      <c r="X95" s="342"/>
      <c r="Y95" s="342"/>
      <c r="Z95" s="331"/>
      <c r="AA95" s="154"/>
      <c r="AB95" s="340"/>
      <c r="AC95" s="341"/>
      <c r="AD95" s="341"/>
      <c r="AE95" s="341"/>
      <c r="AF95" s="342"/>
      <c r="AG95" s="342"/>
      <c r="AH95" s="340"/>
      <c r="AI95" s="154"/>
      <c r="AJ95" s="154"/>
    </row>
    <row r="96" spans="1:36" ht="15.75" thickBot="1" x14ac:dyDescent="0.3">
      <c r="A96" s="123"/>
      <c r="B96" s="123"/>
      <c r="C96" s="123"/>
      <c r="D96" s="370" t="s">
        <v>86</v>
      </c>
      <c r="E96" s="123"/>
      <c r="F96" s="123"/>
      <c r="G96" s="123"/>
      <c r="H96" s="123"/>
      <c r="I96" s="190"/>
      <c r="J96" s="190"/>
      <c r="K96" s="190"/>
      <c r="L96" s="190"/>
      <c r="M96" s="190"/>
      <c r="N96" s="190"/>
      <c r="O96" s="190"/>
      <c r="P96" s="154"/>
      <c r="Q96" s="154"/>
      <c r="R96" s="154"/>
      <c r="S96" s="154"/>
      <c r="T96" s="307"/>
      <c r="U96" s="341"/>
      <c r="V96" s="341"/>
      <c r="W96" s="341"/>
      <c r="X96" s="342"/>
      <c r="Y96" s="342"/>
      <c r="Z96" s="331"/>
      <c r="AA96" s="154"/>
      <c r="AB96" s="340"/>
      <c r="AC96" s="341"/>
      <c r="AD96" s="341"/>
      <c r="AE96" s="341"/>
      <c r="AF96" s="342"/>
      <c r="AG96" s="342"/>
      <c r="AH96" s="340"/>
      <c r="AI96" s="154"/>
      <c r="AJ96" s="154"/>
    </row>
    <row r="97" spans="1:36" x14ac:dyDescent="0.25">
      <c r="A97" s="494" t="s">
        <v>50</v>
      </c>
      <c r="B97" s="495"/>
      <c r="C97" s="496"/>
      <c r="D97" s="494" t="s">
        <v>51</v>
      </c>
      <c r="E97" s="496"/>
      <c r="F97" s="494" t="s">
        <v>52</v>
      </c>
      <c r="G97" s="496"/>
      <c r="H97" s="500" t="s">
        <v>80</v>
      </c>
      <c r="I97" s="190"/>
      <c r="J97" s="190"/>
      <c r="K97" s="190"/>
      <c r="L97" s="190"/>
      <c r="M97" s="190"/>
      <c r="N97" s="190"/>
      <c r="O97" s="190"/>
      <c r="P97" s="154"/>
      <c r="Q97" s="154"/>
      <c r="R97" s="154"/>
      <c r="S97" s="154"/>
      <c r="T97" s="307"/>
      <c r="U97" s="341"/>
      <c r="V97" s="341"/>
      <c r="W97" s="341"/>
      <c r="X97" s="342"/>
      <c r="Y97" s="342"/>
      <c r="Z97" s="331"/>
      <c r="AA97" s="154"/>
      <c r="AB97" s="340"/>
      <c r="AC97" s="341"/>
      <c r="AD97" s="341"/>
      <c r="AE97" s="341"/>
      <c r="AF97" s="342"/>
      <c r="AG97" s="342"/>
      <c r="AH97" s="340"/>
      <c r="AI97" s="154"/>
      <c r="AJ97" s="154"/>
    </row>
    <row r="98" spans="1:36" x14ac:dyDescent="0.25">
      <c r="A98" s="497"/>
      <c r="B98" s="498"/>
      <c r="C98" s="499"/>
      <c r="D98" s="497"/>
      <c r="E98" s="499"/>
      <c r="F98" s="497"/>
      <c r="G98" s="499"/>
      <c r="H98" s="501"/>
      <c r="I98" s="190"/>
      <c r="J98" s="190"/>
      <c r="K98" s="190"/>
      <c r="L98" s="190"/>
      <c r="M98" s="190"/>
      <c r="N98" s="190"/>
      <c r="O98" s="190"/>
      <c r="P98" s="154"/>
      <c r="Q98" s="154"/>
      <c r="R98" s="154"/>
      <c r="S98" s="154"/>
      <c r="T98" s="307"/>
      <c r="U98" s="341"/>
      <c r="V98" s="341"/>
      <c r="W98" s="341"/>
      <c r="X98" s="342"/>
      <c r="Y98" s="342"/>
      <c r="Z98" s="331"/>
      <c r="AA98" s="154"/>
      <c r="AB98" s="340"/>
      <c r="AC98" s="341"/>
      <c r="AD98" s="341"/>
      <c r="AE98" s="341"/>
      <c r="AF98" s="342"/>
      <c r="AG98" s="342"/>
      <c r="AH98" s="340"/>
      <c r="AI98" s="154"/>
      <c r="AJ98" s="154"/>
    </row>
    <row r="99" spans="1:36" ht="28.5" x14ac:dyDescent="0.25">
      <c r="A99" s="302" t="s">
        <v>11</v>
      </c>
      <c r="B99" s="298" t="s">
        <v>66</v>
      </c>
      <c r="C99" s="303" t="s">
        <v>67</v>
      </c>
      <c r="D99" s="304" t="s">
        <v>66</v>
      </c>
      <c r="E99" s="303" t="s">
        <v>67</v>
      </c>
      <c r="F99" s="304" t="s">
        <v>66</v>
      </c>
      <c r="G99" s="303" t="s">
        <v>67</v>
      </c>
      <c r="H99" s="305" t="s">
        <v>63</v>
      </c>
      <c r="I99" s="190"/>
      <c r="J99" s="190"/>
      <c r="K99" s="190"/>
      <c r="L99" s="190"/>
      <c r="M99" s="190"/>
      <c r="N99" s="190"/>
      <c r="O99" s="190"/>
      <c r="P99" s="154"/>
      <c r="Q99" s="154"/>
      <c r="R99" s="154"/>
      <c r="S99" s="154"/>
      <c r="T99" s="307"/>
      <c r="U99" s="341"/>
      <c r="V99" s="341"/>
      <c r="W99" s="341"/>
      <c r="X99" s="342"/>
      <c r="Y99" s="342"/>
      <c r="Z99" s="331"/>
      <c r="AA99" s="154"/>
      <c r="AB99" s="340"/>
      <c r="AC99" s="341"/>
      <c r="AD99" s="341"/>
      <c r="AE99" s="341"/>
      <c r="AF99" s="342"/>
      <c r="AG99" s="342"/>
      <c r="AH99" s="340"/>
      <c r="AI99" s="154"/>
      <c r="AJ99" s="154"/>
    </row>
    <row r="100" spans="1:36" ht="15.75" thickBot="1" x14ac:dyDescent="0.3">
      <c r="A100" s="247">
        <v>2022</v>
      </c>
      <c r="B100" s="204" t="s">
        <v>88</v>
      </c>
      <c r="C100" s="204" t="s">
        <v>63</v>
      </c>
      <c r="D100" s="288">
        <v>0.08</v>
      </c>
      <c r="E100" s="288" t="s">
        <v>65</v>
      </c>
      <c r="F100" s="364"/>
      <c r="G100" s="363"/>
      <c r="H100" s="240"/>
      <c r="I100" s="248"/>
      <c r="J100" s="248"/>
      <c r="K100" s="248"/>
      <c r="L100" s="248"/>
      <c r="M100" s="248"/>
      <c r="N100" s="248"/>
      <c r="O100" s="190"/>
      <c r="P100" s="154"/>
      <c r="Q100" s="154"/>
      <c r="R100" s="154"/>
      <c r="S100" s="154"/>
      <c r="T100" s="307"/>
      <c r="U100" s="341"/>
      <c r="V100" s="341"/>
      <c r="W100" s="341"/>
      <c r="X100" s="342"/>
      <c r="Y100" s="342"/>
      <c r="Z100" s="331"/>
      <c r="AA100" s="154"/>
      <c r="AB100" s="340"/>
      <c r="AC100" s="341"/>
      <c r="AD100" s="341"/>
      <c r="AE100" s="341"/>
      <c r="AF100" s="342"/>
      <c r="AG100" s="342"/>
      <c r="AH100" s="340"/>
      <c r="AI100" s="154"/>
      <c r="AJ100" s="154"/>
    </row>
    <row r="101" spans="1:36" x14ac:dyDescent="0.25">
      <c r="A101" s="311"/>
      <c r="B101" s="312"/>
      <c r="C101" s="312"/>
      <c r="D101" s="310"/>
      <c r="E101" s="310"/>
      <c r="F101" s="237"/>
      <c r="G101" s="237"/>
      <c r="H101" s="312"/>
      <c r="I101" s="248"/>
      <c r="J101" s="248"/>
      <c r="K101" s="248"/>
      <c r="L101" s="248"/>
      <c r="M101" s="248"/>
      <c r="N101" s="248"/>
      <c r="O101" s="190"/>
      <c r="P101" s="154"/>
      <c r="Q101" s="154"/>
      <c r="R101" s="154"/>
      <c r="S101" s="154"/>
      <c r="T101" s="307"/>
      <c r="U101" s="341"/>
      <c r="V101" s="341"/>
      <c r="W101" s="341"/>
      <c r="X101" s="342"/>
      <c r="Y101" s="342"/>
      <c r="Z101" s="331"/>
      <c r="AA101" s="154"/>
      <c r="AB101" s="340"/>
      <c r="AC101" s="341"/>
      <c r="AD101" s="341"/>
      <c r="AE101" s="341"/>
      <c r="AF101" s="342"/>
      <c r="AG101" s="342"/>
      <c r="AH101" s="340"/>
      <c r="AI101" s="154"/>
      <c r="AJ101" s="154"/>
    </row>
    <row r="102" spans="1:36" x14ac:dyDescent="0.25">
      <c r="A102" s="311"/>
      <c r="B102" s="312"/>
      <c r="C102" s="312"/>
      <c r="D102" s="310"/>
      <c r="E102" s="310"/>
      <c r="F102" s="237"/>
      <c r="G102" s="237"/>
      <c r="H102" s="312"/>
      <c r="I102" s="248"/>
      <c r="J102" s="248"/>
      <c r="K102" s="248"/>
      <c r="L102" s="248"/>
      <c r="M102" s="248"/>
      <c r="N102" s="248"/>
      <c r="O102" s="190"/>
      <c r="P102" s="154"/>
      <c r="Q102" s="154"/>
      <c r="R102" s="154"/>
      <c r="S102" s="154"/>
      <c r="T102" s="307"/>
      <c r="U102" s="341"/>
      <c r="V102" s="341"/>
      <c r="W102" s="341"/>
      <c r="X102" s="342"/>
      <c r="Y102" s="342"/>
      <c r="Z102" s="331"/>
      <c r="AA102" s="154"/>
      <c r="AB102" s="340"/>
      <c r="AC102" s="341"/>
      <c r="AD102" s="341"/>
      <c r="AE102" s="341"/>
      <c r="AF102" s="342"/>
      <c r="AG102" s="342"/>
      <c r="AH102" s="340"/>
      <c r="AI102" s="154"/>
      <c r="AJ102" s="154"/>
    </row>
    <row r="103" spans="1:36" x14ac:dyDescent="0.25">
      <c r="A103" s="311"/>
      <c r="B103" s="312"/>
      <c r="C103" s="312"/>
      <c r="D103" s="310"/>
      <c r="E103" s="310"/>
      <c r="F103" s="237"/>
      <c r="G103" s="237"/>
      <c r="H103" s="312"/>
      <c r="I103" s="248"/>
      <c r="J103" s="248"/>
      <c r="K103" s="248"/>
      <c r="L103" s="248"/>
      <c r="M103" s="248"/>
      <c r="N103" s="248"/>
      <c r="O103" s="190"/>
      <c r="P103" s="154"/>
      <c r="Q103" s="154"/>
      <c r="R103" s="154"/>
      <c r="S103" s="154"/>
      <c r="T103" s="307"/>
      <c r="U103" s="341"/>
      <c r="V103" s="341"/>
      <c r="W103" s="341"/>
      <c r="X103" s="342"/>
      <c r="Y103" s="342"/>
      <c r="Z103" s="331"/>
      <c r="AA103" s="154"/>
      <c r="AB103" s="340"/>
      <c r="AC103" s="341"/>
      <c r="AD103" s="341"/>
      <c r="AE103" s="341"/>
      <c r="AF103" s="342"/>
      <c r="AG103" s="342"/>
      <c r="AH103" s="340"/>
      <c r="AI103" s="154"/>
      <c r="AJ103" s="154"/>
    </row>
    <row r="104" spans="1:36" x14ac:dyDescent="0.25">
      <c r="A104" s="343"/>
      <c r="B104" s="312"/>
      <c r="C104" s="312"/>
      <c r="D104" s="310"/>
      <c r="E104" s="310"/>
      <c r="F104" s="310"/>
      <c r="G104" s="310"/>
      <c r="H104" s="312"/>
      <c r="I104" s="248"/>
      <c r="J104" s="248"/>
      <c r="K104" s="248"/>
      <c r="L104" s="248"/>
      <c r="M104" s="248"/>
      <c r="N104" s="248"/>
      <c r="O104" s="190"/>
      <c r="P104" s="154"/>
      <c r="Q104" s="154"/>
      <c r="R104" s="154"/>
      <c r="S104" s="154"/>
      <c r="T104" s="307"/>
      <c r="U104" s="341"/>
      <c r="V104" s="341"/>
      <c r="W104" s="341"/>
      <c r="X104" s="342"/>
      <c r="Y104" s="342"/>
      <c r="Z104" s="331"/>
      <c r="AA104" s="154"/>
      <c r="AB104" s="340"/>
      <c r="AC104" s="341"/>
      <c r="AD104" s="341"/>
      <c r="AE104" s="341"/>
      <c r="AF104" s="342"/>
      <c r="AG104" s="342"/>
      <c r="AH104" s="340"/>
      <c r="AI104" s="154"/>
      <c r="AJ104" s="154"/>
    </row>
    <row r="105" spans="1:36" x14ac:dyDescent="0.25">
      <c r="A105" s="343"/>
      <c r="B105" s="312"/>
      <c r="C105" s="312"/>
      <c r="D105" s="310"/>
      <c r="E105" s="310"/>
      <c r="F105" s="310"/>
      <c r="G105" s="310"/>
      <c r="H105" s="312"/>
      <c r="I105" s="248"/>
      <c r="J105" s="248"/>
      <c r="K105" s="248"/>
      <c r="L105" s="248"/>
      <c r="M105" s="248"/>
      <c r="N105" s="248"/>
      <c r="O105" s="190"/>
      <c r="P105" s="154"/>
      <c r="Q105" s="154"/>
      <c r="R105" s="154"/>
      <c r="S105" s="154"/>
      <c r="T105" s="307"/>
      <c r="U105" s="341"/>
      <c r="V105" s="341"/>
      <c r="W105" s="341"/>
      <c r="X105" s="342"/>
      <c r="Y105" s="342"/>
      <c r="Z105" s="331"/>
      <c r="AA105" s="154"/>
      <c r="AB105" s="340"/>
      <c r="AC105" s="341"/>
      <c r="AD105" s="341"/>
      <c r="AE105" s="341"/>
      <c r="AF105" s="342"/>
      <c r="AG105" s="342"/>
      <c r="AH105" s="340"/>
      <c r="AI105" s="154"/>
      <c r="AJ105" s="154"/>
    </row>
    <row r="106" spans="1:36" ht="15.75" customHeight="1" x14ac:dyDescent="0.25">
      <c r="A106" s="525"/>
      <c r="B106" s="538"/>
      <c r="C106" s="538"/>
      <c r="D106" s="538"/>
      <c r="E106" s="538"/>
      <c r="F106" s="538"/>
      <c r="G106" s="538"/>
      <c r="H106" s="538"/>
      <c r="I106" s="248"/>
      <c r="J106" s="248"/>
      <c r="K106" s="248"/>
      <c r="L106" s="248"/>
      <c r="M106" s="248"/>
      <c r="N106" s="248"/>
      <c r="O106" s="190"/>
      <c r="P106" s="154"/>
      <c r="Q106" s="154"/>
      <c r="R106" s="154"/>
      <c r="S106" s="154"/>
      <c r="T106" s="307"/>
      <c r="U106" s="341"/>
      <c r="V106" s="341"/>
      <c r="W106" s="341"/>
      <c r="X106" s="342"/>
      <c r="Y106" s="342"/>
      <c r="Z106" s="331"/>
      <c r="AA106" s="154"/>
      <c r="AB106" s="340"/>
      <c r="AC106" s="341"/>
      <c r="AD106" s="341"/>
      <c r="AE106" s="341"/>
      <c r="AF106" s="342"/>
      <c r="AG106" s="342"/>
      <c r="AH106" s="340"/>
      <c r="AI106" s="154"/>
      <c r="AJ106" s="154"/>
    </row>
    <row r="107" spans="1:36" x14ac:dyDescent="0.25">
      <c r="A107" s="534"/>
      <c r="B107" s="537"/>
      <c r="C107" s="537"/>
      <c r="D107" s="539"/>
      <c r="E107" s="540"/>
      <c r="F107" s="539"/>
      <c r="G107" s="540"/>
      <c r="H107" s="329"/>
      <c r="I107" s="248"/>
      <c r="J107" s="248"/>
      <c r="K107" s="248"/>
      <c r="L107" s="248"/>
      <c r="M107" s="248"/>
      <c r="N107" s="248"/>
      <c r="O107" s="190"/>
      <c r="P107" s="154"/>
      <c r="Q107" s="154"/>
      <c r="R107" s="154"/>
      <c r="S107" s="154"/>
      <c r="T107" s="307"/>
      <c r="U107" s="341"/>
      <c r="V107" s="341"/>
      <c r="W107" s="341"/>
      <c r="X107" s="342"/>
      <c r="Y107" s="342"/>
      <c r="Z107" s="331"/>
      <c r="AA107" s="154"/>
      <c r="AB107" s="340"/>
      <c r="AC107" s="341"/>
      <c r="AD107" s="341"/>
      <c r="AE107" s="341"/>
      <c r="AF107" s="342"/>
      <c r="AG107" s="342"/>
      <c r="AH107" s="340"/>
      <c r="AI107" s="154"/>
      <c r="AJ107" s="154"/>
    </row>
    <row r="108" spans="1:36" ht="15" customHeight="1" x14ac:dyDescent="0.25">
      <c r="A108" s="154" t="s">
        <v>72</v>
      </c>
      <c r="B108" s="154"/>
      <c r="C108" s="154"/>
      <c r="D108" s="154"/>
      <c r="E108" s="154"/>
      <c r="F108" s="154"/>
      <c r="G108" s="154"/>
      <c r="H108" s="154"/>
      <c r="I108" s="190"/>
      <c r="J108" s="190"/>
      <c r="K108" s="190"/>
      <c r="L108" s="190"/>
      <c r="M108" s="190"/>
      <c r="N108" s="190"/>
      <c r="O108" s="190"/>
      <c r="P108" s="154"/>
      <c r="Q108" s="154"/>
      <c r="R108" s="154"/>
      <c r="S108" s="154"/>
      <c r="T108" s="307"/>
      <c r="U108" s="341"/>
      <c r="V108" s="341"/>
      <c r="W108" s="341"/>
      <c r="X108" s="342"/>
      <c r="Y108" s="342"/>
      <c r="Z108" s="331"/>
      <c r="AA108" s="154"/>
      <c r="AB108" s="340"/>
      <c r="AC108" s="341"/>
      <c r="AD108" s="341"/>
      <c r="AE108" s="341"/>
      <c r="AF108" s="342"/>
      <c r="AG108" s="342"/>
      <c r="AH108" s="340"/>
      <c r="AI108" s="154"/>
      <c r="AJ108" s="154"/>
    </row>
    <row r="109" spans="1:36" x14ac:dyDescent="0.25">
      <c r="A109" s="344"/>
      <c r="B109" s="503" t="s">
        <v>69</v>
      </c>
      <c r="C109" s="504"/>
      <c r="D109" s="504"/>
      <c r="E109" s="504"/>
      <c r="F109" s="154"/>
      <c r="G109" s="154"/>
      <c r="H109" s="154"/>
      <c r="I109" s="190"/>
      <c r="J109" s="190"/>
      <c r="K109" s="190"/>
      <c r="L109" s="190"/>
      <c r="M109" s="190"/>
      <c r="N109" s="190"/>
      <c r="O109" s="190"/>
      <c r="P109" s="154"/>
      <c r="Q109" s="154"/>
      <c r="R109" s="154"/>
      <c r="S109" s="154"/>
      <c r="T109" s="307"/>
      <c r="U109" s="341"/>
      <c r="V109" s="341"/>
      <c r="W109" s="341"/>
      <c r="X109" s="342"/>
      <c r="Y109" s="342"/>
      <c r="Z109" s="331"/>
      <c r="AA109" s="154"/>
      <c r="AB109" s="340"/>
      <c r="AC109" s="341"/>
      <c r="AD109" s="341"/>
      <c r="AE109" s="341"/>
      <c r="AF109" s="342"/>
      <c r="AG109" s="342"/>
      <c r="AH109" s="340"/>
      <c r="AI109" s="154"/>
      <c r="AJ109" s="154"/>
    </row>
    <row r="110" spans="1:36" x14ac:dyDescent="0.25">
      <c r="A110" s="345"/>
      <c r="B110" s="503" t="s">
        <v>70</v>
      </c>
      <c r="C110" s="504"/>
      <c r="D110" s="504"/>
      <c r="E110" s="504"/>
      <c r="F110" s="154"/>
      <c r="G110" s="154"/>
      <c r="H110" s="154"/>
      <c r="I110" s="190"/>
      <c r="J110" s="190"/>
      <c r="K110" s="190"/>
      <c r="L110" s="190"/>
      <c r="M110" s="190"/>
      <c r="N110" s="190"/>
      <c r="O110" s="190"/>
      <c r="P110" s="154"/>
      <c r="Q110" s="154"/>
      <c r="R110" s="154"/>
      <c r="S110" s="154"/>
      <c r="T110" s="307"/>
      <c r="U110" s="341"/>
      <c r="V110" s="341"/>
      <c r="W110" s="341"/>
      <c r="X110" s="342"/>
      <c r="Y110" s="342"/>
      <c r="Z110" s="331"/>
      <c r="AA110" s="154"/>
      <c r="AB110" s="340"/>
      <c r="AC110" s="341"/>
      <c r="AD110" s="341"/>
      <c r="AE110" s="341"/>
      <c r="AF110" s="342"/>
      <c r="AG110" s="342"/>
      <c r="AH110" s="340"/>
      <c r="AI110" s="154"/>
      <c r="AJ110" s="154"/>
    </row>
    <row r="111" spans="1:36" x14ac:dyDescent="0.25">
      <c r="A111" s="346" t="s">
        <v>44</v>
      </c>
      <c r="B111" s="502" t="s">
        <v>71</v>
      </c>
      <c r="C111" s="502"/>
      <c r="D111" s="502"/>
      <c r="E111" s="502"/>
      <c r="F111" s="502"/>
      <c r="G111" s="502"/>
      <c r="H111" s="502"/>
      <c r="I111" s="502"/>
      <c r="J111" s="502"/>
      <c r="K111" s="502"/>
      <c r="L111" s="502"/>
      <c r="M111" s="502"/>
      <c r="N111" s="502"/>
      <c r="O111" s="502"/>
      <c r="P111" s="502"/>
      <c r="Q111" s="154"/>
      <c r="R111" s="154"/>
      <c r="S111" s="154"/>
      <c r="T111" s="307"/>
      <c r="U111" s="341"/>
      <c r="V111" s="341"/>
      <c r="W111" s="341"/>
      <c r="X111" s="342"/>
      <c r="Y111" s="342"/>
      <c r="Z111" s="331"/>
      <c r="AA111" s="154"/>
      <c r="AB111" s="340"/>
      <c r="AC111" s="341"/>
      <c r="AD111" s="341"/>
      <c r="AE111" s="341"/>
      <c r="AF111" s="342"/>
      <c r="AG111" s="342"/>
      <c r="AH111" s="340"/>
      <c r="AI111" s="154"/>
      <c r="AJ111" s="154"/>
    </row>
    <row r="112" spans="1:36" x14ac:dyDescent="0.25">
      <c r="A112" s="311"/>
      <c r="B112" s="312"/>
      <c r="C112" s="312"/>
      <c r="D112" s="310"/>
      <c r="E112" s="310"/>
      <c r="F112" s="237"/>
      <c r="G112" s="249"/>
      <c r="H112" s="237"/>
      <c r="I112" s="248"/>
      <c r="J112" s="248"/>
      <c r="K112" s="248"/>
      <c r="L112" s="248"/>
      <c r="M112" s="248"/>
      <c r="N112" s="248"/>
      <c r="O112" s="190"/>
      <c r="P112" s="154"/>
      <c r="Q112" s="154"/>
      <c r="R112" s="154"/>
      <c r="S112" s="154"/>
      <c r="T112" s="307"/>
      <c r="U112" s="341"/>
      <c r="V112" s="341"/>
      <c r="W112" s="341"/>
      <c r="X112" s="342"/>
      <c r="Y112" s="342"/>
      <c r="Z112" s="331"/>
      <c r="AA112" s="154"/>
      <c r="AB112" s="340"/>
      <c r="AC112" s="341"/>
      <c r="AD112" s="341"/>
      <c r="AE112" s="341"/>
      <c r="AF112" s="342"/>
      <c r="AG112" s="342"/>
      <c r="AH112" s="340"/>
      <c r="AI112" s="154"/>
      <c r="AJ112" s="154"/>
    </row>
    <row r="113" spans="1:36" x14ac:dyDescent="0.25">
      <c r="A113" s="311"/>
      <c r="B113" s="312"/>
      <c r="C113" s="312"/>
      <c r="D113" s="310"/>
      <c r="E113" s="310"/>
      <c r="F113" s="237"/>
      <c r="G113" s="249"/>
      <c r="H113" s="237"/>
      <c r="I113" s="248"/>
      <c r="J113" s="248"/>
      <c r="K113" s="248"/>
      <c r="L113" s="248"/>
      <c r="M113" s="248"/>
      <c r="N113" s="248"/>
      <c r="O113" s="190"/>
      <c r="P113" s="154"/>
      <c r="Q113" s="154"/>
      <c r="R113" s="154"/>
      <c r="S113" s="154"/>
      <c r="T113" s="307"/>
      <c r="U113" s="341"/>
      <c r="V113" s="341"/>
      <c r="W113" s="341"/>
      <c r="X113" s="342"/>
      <c r="Y113" s="342"/>
      <c r="Z113" s="331"/>
      <c r="AA113" s="154"/>
      <c r="AB113" s="340"/>
      <c r="AC113" s="341"/>
      <c r="AD113" s="341"/>
      <c r="AE113" s="341"/>
      <c r="AF113" s="342"/>
      <c r="AG113" s="342"/>
      <c r="AH113" s="340"/>
      <c r="AI113" s="154"/>
      <c r="AJ113" s="154"/>
    </row>
    <row r="114" spans="1:36" x14ac:dyDescent="0.25">
      <c r="A114" s="311"/>
      <c r="B114" s="312"/>
      <c r="C114" s="312"/>
      <c r="D114" s="310"/>
      <c r="E114" s="310"/>
      <c r="F114" s="237"/>
      <c r="G114" s="249"/>
      <c r="H114" s="237"/>
      <c r="I114" s="248"/>
      <c r="J114" s="248"/>
      <c r="K114" s="248"/>
      <c r="L114" s="248"/>
      <c r="M114" s="248"/>
      <c r="N114" s="248"/>
      <c r="O114" s="190"/>
      <c r="P114" s="154"/>
      <c r="Q114" s="154"/>
      <c r="R114" s="154"/>
      <c r="S114" s="154"/>
      <c r="T114" s="307"/>
      <c r="U114" s="341"/>
      <c r="V114" s="341"/>
      <c r="W114" s="341"/>
      <c r="X114" s="342"/>
      <c r="Y114" s="342"/>
      <c r="Z114" s="331"/>
      <c r="AA114" s="154"/>
      <c r="AB114" s="340"/>
      <c r="AC114" s="341"/>
      <c r="AD114" s="341"/>
      <c r="AE114" s="341"/>
      <c r="AF114" s="342"/>
      <c r="AG114" s="342"/>
      <c r="AH114" s="340"/>
      <c r="AI114" s="154"/>
      <c r="AJ114" s="154"/>
    </row>
    <row r="115" spans="1:36" x14ac:dyDescent="0.25">
      <c r="A115" s="311"/>
      <c r="B115" s="312"/>
      <c r="C115" s="312"/>
      <c r="D115" s="310"/>
      <c r="E115" s="310"/>
      <c r="F115" s="237"/>
      <c r="G115" s="249"/>
      <c r="H115" s="237"/>
      <c r="I115" s="248"/>
      <c r="J115" s="248"/>
      <c r="K115" s="248"/>
      <c r="L115" s="248"/>
      <c r="M115" s="248"/>
      <c r="N115" s="248"/>
      <c r="O115" s="190"/>
      <c r="P115" s="154"/>
      <c r="Q115" s="154"/>
      <c r="R115" s="154"/>
      <c r="S115" s="154"/>
      <c r="T115" s="307"/>
      <c r="U115" s="341"/>
      <c r="V115" s="341"/>
      <c r="W115" s="341"/>
      <c r="X115" s="342"/>
      <c r="Y115" s="342"/>
      <c r="Z115" s="331"/>
      <c r="AA115" s="154"/>
      <c r="AB115" s="340"/>
      <c r="AC115" s="341"/>
      <c r="AD115" s="341"/>
      <c r="AE115" s="341"/>
      <c r="AF115" s="342"/>
      <c r="AG115" s="342"/>
      <c r="AH115" s="340"/>
      <c r="AI115" s="154"/>
      <c r="AJ115" s="154"/>
    </row>
    <row r="116" spans="1:36" x14ac:dyDescent="0.25">
      <c r="A116" s="311"/>
      <c r="B116" s="312"/>
      <c r="C116" s="312"/>
      <c r="D116" s="310"/>
      <c r="E116" s="310"/>
      <c r="F116" s="237"/>
      <c r="G116" s="249"/>
      <c r="H116" s="237"/>
      <c r="I116" s="248"/>
      <c r="J116" s="248"/>
      <c r="K116" s="248"/>
      <c r="L116" s="248"/>
      <c r="M116" s="248"/>
      <c r="N116" s="248"/>
      <c r="O116" s="190"/>
      <c r="P116" s="154"/>
      <c r="Q116" s="154"/>
      <c r="R116" s="154"/>
      <c r="S116" s="154"/>
      <c r="T116" s="307"/>
      <c r="U116" s="341"/>
      <c r="V116" s="341"/>
      <c r="W116" s="341"/>
      <c r="X116" s="342"/>
      <c r="Y116" s="342"/>
      <c r="Z116" s="331"/>
      <c r="AA116" s="154"/>
      <c r="AB116" s="340"/>
      <c r="AC116" s="341"/>
      <c r="AD116" s="341"/>
      <c r="AE116" s="341"/>
      <c r="AF116" s="342"/>
      <c r="AG116" s="342"/>
      <c r="AH116" s="340"/>
      <c r="AI116" s="154"/>
      <c r="AJ116" s="154"/>
    </row>
    <row r="117" spans="1:36" x14ac:dyDescent="0.25">
      <c r="A117" s="311"/>
      <c r="B117" s="312"/>
      <c r="C117" s="312"/>
      <c r="D117" s="310"/>
      <c r="E117" s="310"/>
      <c r="F117" s="237"/>
      <c r="G117" s="249"/>
      <c r="H117" s="237"/>
      <c r="I117" s="248"/>
      <c r="J117" s="248"/>
      <c r="K117" s="248"/>
      <c r="L117" s="248"/>
      <c r="M117" s="248"/>
      <c r="N117" s="248"/>
      <c r="O117" s="190"/>
      <c r="P117" s="154"/>
      <c r="Q117" s="154"/>
      <c r="R117" s="154"/>
      <c r="S117" s="154"/>
      <c r="T117" s="307"/>
      <c r="U117" s="341"/>
      <c r="V117" s="341"/>
      <c r="W117" s="341"/>
      <c r="X117" s="342"/>
      <c r="Y117" s="342"/>
      <c r="Z117" s="331"/>
      <c r="AA117" s="154"/>
      <c r="AB117" s="340"/>
      <c r="AC117" s="341"/>
      <c r="AD117" s="341"/>
      <c r="AE117" s="341"/>
      <c r="AF117" s="342"/>
      <c r="AG117" s="342"/>
      <c r="AH117" s="340"/>
      <c r="AI117" s="154"/>
      <c r="AJ117" s="154"/>
    </row>
    <row r="118" spans="1:36" x14ac:dyDescent="0.25">
      <c r="A118" s="311"/>
      <c r="B118" s="312"/>
      <c r="C118" s="312"/>
      <c r="D118" s="310"/>
      <c r="E118" s="310"/>
      <c r="F118" s="237"/>
      <c r="G118" s="249"/>
      <c r="H118" s="237"/>
      <c r="I118" s="248"/>
      <c r="J118" s="248"/>
      <c r="K118" s="248"/>
      <c r="L118" s="248"/>
      <c r="M118" s="248"/>
      <c r="N118" s="248"/>
      <c r="O118" s="190"/>
      <c r="P118" s="154"/>
      <c r="Q118" s="154"/>
      <c r="R118" s="154"/>
      <c r="S118" s="154"/>
      <c r="T118" s="307"/>
      <c r="U118" s="341"/>
      <c r="V118" s="341"/>
      <c r="W118" s="341"/>
      <c r="X118" s="342"/>
      <c r="Y118" s="342"/>
      <c r="Z118" s="331"/>
      <c r="AA118" s="154"/>
      <c r="AB118" s="340"/>
      <c r="AC118" s="341"/>
      <c r="AD118" s="341"/>
      <c r="AE118" s="341"/>
      <c r="AF118" s="342"/>
      <c r="AG118" s="342"/>
      <c r="AH118" s="340"/>
      <c r="AI118" s="154"/>
      <c r="AJ118" s="154"/>
    </row>
    <row r="119" spans="1:36" x14ac:dyDescent="0.25">
      <c r="A119" s="311"/>
      <c r="B119" s="312"/>
      <c r="C119" s="312"/>
      <c r="D119" s="310"/>
      <c r="E119" s="310"/>
      <c r="F119" s="237"/>
      <c r="G119" s="249"/>
      <c r="H119" s="237"/>
      <c r="I119" s="248"/>
      <c r="J119" s="248"/>
      <c r="K119" s="248"/>
      <c r="L119" s="248"/>
      <c r="M119" s="248"/>
      <c r="N119" s="248"/>
      <c r="O119" s="190"/>
      <c r="P119" s="154"/>
      <c r="Q119" s="154"/>
      <c r="R119" s="154"/>
      <c r="S119" s="154"/>
      <c r="T119" s="307"/>
      <c r="U119" s="341"/>
      <c r="V119" s="341"/>
      <c r="W119" s="341"/>
      <c r="X119" s="342"/>
      <c r="Y119" s="342"/>
      <c r="Z119" s="331"/>
      <c r="AA119" s="154"/>
      <c r="AB119" s="340"/>
      <c r="AC119" s="341"/>
      <c r="AD119" s="341"/>
      <c r="AE119" s="341"/>
      <c r="AF119" s="342"/>
      <c r="AG119" s="342"/>
      <c r="AH119" s="340"/>
      <c r="AI119" s="154"/>
      <c r="AJ119" s="154"/>
    </row>
    <row r="120" spans="1:36" x14ac:dyDescent="0.25">
      <c r="A120" s="311"/>
      <c r="B120" s="312"/>
      <c r="C120" s="312"/>
      <c r="D120" s="310"/>
      <c r="E120" s="310"/>
      <c r="F120" s="237"/>
      <c r="G120" s="249"/>
      <c r="H120" s="237"/>
      <c r="I120" s="248"/>
      <c r="J120" s="248"/>
      <c r="K120" s="248"/>
      <c r="L120" s="248"/>
      <c r="M120" s="248"/>
      <c r="N120" s="248"/>
      <c r="O120" s="190"/>
      <c r="P120" s="154"/>
      <c r="Q120" s="154"/>
      <c r="R120" s="154"/>
      <c r="S120" s="154"/>
      <c r="T120" s="307"/>
      <c r="U120" s="341"/>
      <c r="V120" s="341"/>
      <c r="W120" s="341"/>
      <c r="X120" s="342"/>
      <c r="Y120" s="342"/>
      <c r="Z120" s="331"/>
      <c r="AA120" s="154"/>
      <c r="AB120" s="340"/>
      <c r="AC120" s="341"/>
      <c r="AD120" s="341"/>
      <c r="AE120" s="341"/>
      <c r="AF120" s="342"/>
      <c r="AG120" s="342"/>
      <c r="AH120" s="340"/>
      <c r="AI120" s="154"/>
      <c r="AJ120" s="154"/>
    </row>
    <row r="121" spans="1:36" x14ac:dyDescent="0.25">
      <c r="A121" s="311"/>
      <c r="B121" s="312"/>
      <c r="C121" s="312"/>
      <c r="D121" s="310"/>
      <c r="E121" s="310"/>
      <c r="F121" s="237"/>
      <c r="G121" s="249"/>
      <c r="H121" s="237"/>
      <c r="I121" s="248"/>
      <c r="J121" s="248"/>
      <c r="K121" s="248"/>
      <c r="L121" s="248"/>
      <c r="M121" s="248"/>
      <c r="N121" s="248"/>
      <c r="O121" s="190"/>
      <c r="P121" s="154"/>
      <c r="Q121" s="154"/>
      <c r="R121" s="154"/>
      <c r="S121" s="154"/>
      <c r="T121" s="307"/>
      <c r="U121" s="341"/>
      <c r="V121" s="341"/>
      <c r="W121" s="341"/>
      <c r="X121" s="342"/>
      <c r="Y121" s="342"/>
      <c r="Z121" s="331"/>
      <c r="AA121" s="154"/>
      <c r="AB121" s="340"/>
      <c r="AC121" s="341"/>
      <c r="AD121" s="341"/>
      <c r="AE121" s="341"/>
      <c r="AF121" s="342"/>
      <c r="AG121" s="342"/>
      <c r="AH121" s="340"/>
      <c r="AI121" s="154"/>
      <c r="AJ121" s="154"/>
    </row>
    <row r="122" spans="1:36" x14ac:dyDescent="0.25">
      <c r="A122" s="311"/>
      <c r="B122" s="312"/>
      <c r="C122" s="312"/>
      <c r="D122" s="310"/>
      <c r="E122" s="310"/>
      <c r="F122" s="237"/>
      <c r="G122" s="249"/>
      <c r="H122" s="237"/>
      <c r="I122" s="248"/>
      <c r="J122" s="248"/>
      <c r="K122" s="248"/>
      <c r="L122" s="248"/>
      <c r="M122" s="248"/>
      <c r="N122" s="248"/>
      <c r="O122" s="190"/>
      <c r="P122" s="154"/>
      <c r="Q122" s="154"/>
      <c r="R122" s="154"/>
      <c r="S122" s="154"/>
      <c r="T122" s="307"/>
      <c r="U122" s="341"/>
      <c r="V122" s="341"/>
      <c r="W122" s="341"/>
      <c r="X122" s="342"/>
      <c r="Y122" s="342"/>
      <c r="Z122" s="331"/>
      <c r="AA122" s="154"/>
      <c r="AB122" s="340"/>
      <c r="AC122" s="341"/>
      <c r="AD122" s="341"/>
      <c r="AE122" s="341"/>
      <c r="AF122" s="342"/>
      <c r="AG122" s="342"/>
      <c r="AH122" s="340"/>
      <c r="AI122" s="154"/>
      <c r="AJ122" s="154"/>
    </row>
    <row r="123" spans="1:36" x14ac:dyDescent="0.25">
      <c r="A123" s="311"/>
      <c r="B123" s="312"/>
      <c r="C123" s="312"/>
      <c r="D123" s="310"/>
      <c r="E123" s="310"/>
      <c r="F123" s="237"/>
      <c r="G123" s="249"/>
      <c r="H123" s="237"/>
      <c r="I123" s="248"/>
      <c r="J123" s="248"/>
      <c r="K123" s="248"/>
      <c r="L123" s="248"/>
      <c r="M123" s="248"/>
      <c r="N123" s="248"/>
      <c r="O123" s="190"/>
      <c r="P123" s="154"/>
      <c r="Q123" s="154"/>
      <c r="R123" s="154"/>
      <c r="S123" s="154"/>
      <c r="T123" s="307"/>
      <c r="U123" s="341"/>
      <c r="V123" s="341"/>
      <c r="W123" s="341"/>
      <c r="X123" s="342"/>
      <c r="Y123" s="342"/>
      <c r="Z123" s="331"/>
      <c r="AA123" s="154"/>
      <c r="AB123" s="340"/>
      <c r="AC123" s="341"/>
      <c r="AD123" s="341"/>
      <c r="AE123" s="341"/>
      <c r="AF123" s="342"/>
      <c r="AG123" s="342"/>
      <c r="AH123" s="340"/>
      <c r="AI123" s="154"/>
      <c r="AJ123" s="154"/>
    </row>
    <row r="124" spans="1:36" x14ac:dyDescent="0.25">
      <c r="A124" s="311"/>
      <c r="B124" s="312"/>
      <c r="C124" s="312"/>
      <c r="D124" s="310"/>
      <c r="E124" s="310"/>
      <c r="F124" s="237"/>
      <c r="G124" s="249"/>
      <c r="H124" s="237"/>
      <c r="I124" s="248"/>
      <c r="J124" s="248"/>
      <c r="K124" s="248"/>
      <c r="L124" s="248"/>
      <c r="M124" s="248"/>
      <c r="N124" s="248"/>
      <c r="O124" s="190"/>
      <c r="P124" s="154"/>
      <c r="Q124" s="154"/>
      <c r="R124" s="154"/>
      <c r="S124" s="154"/>
      <c r="T124" s="307"/>
      <c r="U124" s="341"/>
      <c r="V124" s="341"/>
      <c r="W124" s="341"/>
      <c r="X124" s="342"/>
      <c r="Y124" s="342"/>
      <c r="Z124" s="331"/>
      <c r="AA124" s="154"/>
      <c r="AB124" s="340"/>
      <c r="AC124" s="341"/>
      <c r="AD124" s="341"/>
      <c r="AE124" s="341"/>
      <c r="AF124" s="342"/>
      <c r="AG124" s="342"/>
      <c r="AH124" s="340"/>
      <c r="AI124" s="154"/>
      <c r="AJ124" s="154"/>
    </row>
    <row r="125" spans="1:36" x14ac:dyDescent="0.25">
      <c r="A125" s="311"/>
      <c r="B125" s="312"/>
      <c r="C125" s="312"/>
      <c r="D125" s="310"/>
      <c r="E125" s="310"/>
      <c r="F125" s="237"/>
      <c r="G125" s="249"/>
      <c r="H125" s="237"/>
      <c r="I125" s="248"/>
      <c r="J125" s="248"/>
      <c r="K125" s="248"/>
      <c r="L125" s="248"/>
      <c r="M125" s="248"/>
      <c r="N125" s="248"/>
      <c r="O125" s="190"/>
      <c r="P125" s="154"/>
      <c r="Q125" s="154"/>
      <c r="R125" s="154"/>
      <c r="S125" s="154"/>
      <c r="T125" s="307"/>
      <c r="U125" s="341"/>
      <c r="V125" s="341"/>
      <c r="W125" s="341"/>
      <c r="X125" s="342"/>
      <c r="Y125" s="342"/>
      <c r="Z125" s="331"/>
      <c r="AA125" s="154"/>
      <c r="AB125" s="340"/>
      <c r="AC125" s="341"/>
      <c r="AD125" s="341"/>
      <c r="AE125" s="341"/>
      <c r="AF125" s="342"/>
      <c r="AG125" s="342"/>
      <c r="AH125" s="340"/>
      <c r="AI125" s="154"/>
      <c r="AJ125" s="154"/>
    </row>
    <row r="126" spans="1:36" x14ac:dyDescent="0.25">
      <c r="A126" s="311"/>
      <c r="B126" s="312"/>
      <c r="C126" s="312"/>
      <c r="D126" s="310"/>
      <c r="E126" s="310"/>
      <c r="F126" s="237"/>
      <c r="G126" s="249"/>
      <c r="H126" s="237"/>
      <c r="I126" s="248"/>
      <c r="J126" s="248"/>
      <c r="K126" s="248"/>
      <c r="L126" s="248"/>
      <c r="M126" s="248"/>
      <c r="N126" s="248"/>
      <c r="O126" s="190"/>
      <c r="P126" s="154"/>
      <c r="Q126" s="154"/>
      <c r="R126" s="154"/>
      <c r="S126" s="154"/>
      <c r="T126" s="307"/>
      <c r="U126" s="341"/>
      <c r="V126" s="341"/>
      <c r="W126" s="341"/>
      <c r="X126" s="342"/>
      <c r="Y126" s="342"/>
      <c r="Z126" s="331"/>
      <c r="AA126" s="154"/>
      <c r="AB126" s="340"/>
      <c r="AC126" s="341"/>
      <c r="AD126" s="341"/>
      <c r="AE126" s="341"/>
      <c r="AF126" s="342"/>
      <c r="AG126" s="342"/>
      <c r="AH126" s="340"/>
      <c r="AI126" s="154"/>
      <c r="AJ126" s="154"/>
    </row>
    <row r="127" spans="1:36" x14ac:dyDescent="0.25">
      <c r="A127" s="311"/>
      <c r="B127" s="312"/>
      <c r="C127" s="312"/>
      <c r="D127" s="310"/>
      <c r="E127" s="310"/>
      <c r="F127" s="237"/>
      <c r="G127" s="249"/>
      <c r="H127" s="237"/>
      <c r="I127" s="248"/>
      <c r="J127" s="248"/>
      <c r="K127" s="248"/>
      <c r="L127" s="248"/>
      <c r="M127" s="248"/>
      <c r="N127" s="248"/>
      <c r="O127" s="190"/>
      <c r="P127" s="154"/>
      <c r="Q127" s="154"/>
      <c r="R127" s="154"/>
      <c r="S127" s="154"/>
      <c r="T127" s="307"/>
      <c r="U127" s="341"/>
      <c r="V127" s="341"/>
      <c r="W127" s="341"/>
      <c r="X127" s="342"/>
      <c r="Y127" s="342"/>
      <c r="Z127" s="331"/>
      <c r="AA127" s="154"/>
      <c r="AB127" s="340"/>
      <c r="AC127" s="341"/>
      <c r="AD127" s="341"/>
      <c r="AE127" s="341"/>
      <c r="AF127" s="342"/>
      <c r="AG127" s="342"/>
      <c r="AH127" s="340"/>
      <c r="AI127" s="154"/>
      <c r="AJ127" s="154"/>
    </row>
    <row r="128" spans="1:36" x14ac:dyDescent="0.25">
      <c r="A128" s="311"/>
      <c r="B128" s="312"/>
      <c r="C128" s="312"/>
      <c r="D128" s="310"/>
      <c r="E128" s="310"/>
      <c r="F128" s="237"/>
      <c r="G128" s="249"/>
      <c r="H128" s="237"/>
      <c r="I128" s="248"/>
      <c r="J128" s="248"/>
      <c r="K128" s="248"/>
      <c r="L128" s="248"/>
      <c r="M128" s="248"/>
      <c r="N128" s="248"/>
      <c r="O128" s="190"/>
      <c r="P128" s="154"/>
      <c r="Q128" s="154"/>
      <c r="R128" s="154"/>
      <c r="S128" s="154"/>
      <c r="T128" s="307"/>
      <c r="U128" s="341"/>
      <c r="V128" s="341"/>
      <c r="W128" s="341"/>
      <c r="X128" s="342"/>
      <c r="Y128" s="342"/>
      <c r="Z128" s="331"/>
      <c r="AA128" s="154"/>
      <c r="AB128" s="340"/>
      <c r="AC128" s="341"/>
      <c r="AD128" s="341"/>
      <c r="AE128" s="341"/>
      <c r="AF128" s="342"/>
      <c r="AG128" s="342"/>
      <c r="AH128" s="340"/>
      <c r="AI128" s="154"/>
      <c r="AJ128" s="154"/>
    </row>
    <row r="129" spans="1:36" x14ac:dyDescent="0.25">
      <c r="A129" s="311"/>
      <c r="B129" s="312"/>
      <c r="C129" s="312"/>
      <c r="D129" s="310"/>
      <c r="E129" s="310"/>
      <c r="F129" s="237"/>
      <c r="G129" s="249"/>
      <c r="H129" s="237"/>
      <c r="I129" s="248"/>
      <c r="J129" s="248"/>
      <c r="K129" s="248"/>
      <c r="L129" s="248"/>
      <c r="M129" s="248"/>
      <c r="N129" s="248"/>
      <c r="O129" s="190"/>
      <c r="P129" s="154"/>
      <c r="Q129" s="154"/>
      <c r="R129" s="154"/>
      <c r="S129" s="154"/>
      <c r="T129" s="307"/>
      <c r="U129" s="341"/>
      <c r="V129" s="341"/>
      <c r="W129" s="341"/>
      <c r="X129" s="342"/>
      <c r="Y129" s="342"/>
      <c r="Z129" s="331"/>
      <c r="AA129" s="154"/>
      <c r="AB129" s="340"/>
      <c r="AC129" s="341"/>
      <c r="AD129" s="341"/>
      <c r="AE129" s="341"/>
      <c r="AF129" s="342"/>
      <c r="AG129" s="342"/>
      <c r="AH129" s="340"/>
      <c r="AI129" s="154"/>
      <c r="AJ129" s="154"/>
    </row>
    <row r="130" spans="1:36" x14ac:dyDescent="0.25">
      <c r="A130" s="311"/>
      <c r="B130" s="312"/>
      <c r="C130" s="312"/>
      <c r="D130" s="310"/>
      <c r="E130" s="310"/>
      <c r="F130" s="237"/>
      <c r="G130" s="249"/>
      <c r="H130" s="237"/>
      <c r="I130" s="248"/>
      <c r="J130" s="248"/>
      <c r="K130" s="248"/>
      <c r="L130" s="248"/>
      <c r="M130" s="248"/>
      <c r="N130" s="248"/>
      <c r="O130" s="190"/>
      <c r="P130" s="154"/>
      <c r="Q130" s="154"/>
      <c r="R130" s="154"/>
      <c r="S130" s="154"/>
      <c r="T130" s="307"/>
      <c r="U130" s="341"/>
      <c r="V130" s="341"/>
      <c r="W130" s="341"/>
      <c r="X130" s="342"/>
      <c r="Y130" s="342"/>
      <c r="Z130" s="331"/>
      <c r="AA130" s="154"/>
      <c r="AB130" s="340"/>
      <c r="AC130" s="341"/>
      <c r="AD130" s="341"/>
      <c r="AE130" s="341"/>
      <c r="AF130" s="342"/>
      <c r="AG130" s="342"/>
      <c r="AH130" s="340"/>
      <c r="AI130" s="154"/>
      <c r="AJ130" s="154"/>
    </row>
    <row r="131" spans="1:36" x14ac:dyDescent="0.25">
      <c r="A131" s="311"/>
      <c r="B131" s="312"/>
      <c r="C131" s="312"/>
      <c r="D131" s="310"/>
      <c r="E131" s="310"/>
      <c r="F131" s="237"/>
      <c r="G131" s="249"/>
      <c r="H131" s="237"/>
      <c r="I131" s="248"/>
      <c r="J131" s="248"/>
      <c r="K131" s="248"/>
      <c r="L131" s="248"/>
      <c r="M131" s="248"/>
      <c r="N131" s="248"/>
      <c r="O131" s="190"/>
      <c r="P131" s="154"/>
      <c r="Q131" s="154"/>
      <c r="R131" s="154"/>
      <c r="S131" s="154"/>
      <c r="T131" s="307"/>
      <c r="U131" s="341"/>
      <c r="V131" s="341"/>
      <c r="W131" s="341"/>
      <c r="X131" s="342"/>
      <c r="Y131" s="342"/>
      <c r="Z131" s="331"/>
      <c r="AA131" s="154"/>
      <c r="AB131" s="340"/>
      <c r="AC131" s="341"/>
      <c r="AD131" s="341"/>
      <c r="AE131" s="341"/>
      <c r="AF131" s="342"/>
      <c r="AG131" s="342"/>
      <c r="AH131" s="340"/>
      <c r="AI131" s="154"/>
      <c r="AJ131" s="154"/>
    </row>
    <row r="132" spans="1:36" x14ac:dyDescent="0.25">
      <c r="A132" s="311"/>
      <c r="B132" s="312"/>
      <c r="C132" s="312"/>
      <c r="D132" s="310"/>
      <c r="E132" s="310"/>
      <c r="F132" s="237"/>
      <c r="G132" s="249"/>
      <c r="H132" s="237"/>
      <c r="I132" s="248"/>
      <c r="J132" s="248"/>
      <c r="K132" s="248"/>
      <c r="L132" s="248"/>
      <c r="M132" s="248"/>
      <c r="N132" s="248"/>
      <c r="O132" s="190"/>
      <c r="P132" s="154"/>
      <c r="Q132" s="154"/>
      <c r="R132" s="154"/>
      <c r="S132" s="154"/>
      <c r="T132" s="307"/>
      <c r="U132" s="341"/>
      <c r="V132" s="341"/>
      <c r="W132" s="341"/>
      <c r="X132" s="342"/>
      <c r="Y132" s="342"/>
      <c r="Z132" s="331"/>
      <c r="AA132" s="154"/>
      <c r="AB132" s="340"/>
      <c r="AC132" s="341"/>
      <c r="AD132" s="341"/>
      <c r="AE132" s="341"/>
      <c r="AF132" s="342"/>
      <c r="AG132" s="342"/>
      <c r="AH132" s="340"/>
      <c r="AI132" s="154"/>
      <c r="AJ132" s="154"/>
    </row>
    <row r="133" spans="1:36" x14ac:dyDescent="0.25">
      <c r="A133" s="311"/>
      <c r="B133" s="312"/>
      <c r="C133" s="312"/>
      <c r="D133" s="310"/>
      <c r="E133" s="310"/>
      <c r="F133" s="237"/>
      <c r="G133" s="237"/>
      <c r="H133" s="312"/>
      <c r="I133" s="248"/>
      <c r="J133" s="248"/>
      <c r="K133" s="248"/>
      <c r="L133" s="248"/>
      <c r="M133" s="248"/>
      <c r="N133" s="248"/>
      <c r="O133" s="190"/>
      <c r="P133" s="154"/>
      <c r="Q133" s="154"/>
      <c r="R133" s="154"/>
      <c r="S133" s="154"/>
      <c r="T133" s="307"/>
      <c r="U133" s="341"/>
      <c r="V133" s="341"/>
      <c r="W133" s="341"/>
      <c r="X133" s="342"/>
      <c r="Y133" s="342"/>
      <c r="Z133" s="331"/>
      <c r="AA133" s="154"/>
      <c r="AB133" s="340"/>
      <c r="AC133" s="341"/>
      <c r="AD133" s="341"/>
      <c r="AE133" s="341"/>
      <c r="AF133" s="342"/>
      <c r="AG133" s="342"/>
      <c r="AH133" s="340"/>
      <c r="AI133" s="154"/>
      <c r="AJ133" s="154"/>
    </row>
    <row r="134" spans="1:36" x14ac:dyDescent="0.25">
      <c r="A134" s="311"/>
      <c r="B134" s="312"/>
      <c r="C134" s="312"/>
      <c r="D134" s="310"/>
      <c r="E134" s="310"/>
      <c r="F134" s="237"/>
      <c r="G134" s="237"/>
      <c r="H134" s="312"/>
      <c r="I134" s="248"/>
      <c r="J134" s="248"/>
      <c r="K134" s="248"/>
      <c r="L134" s="248"/>
      <c r="M134" s="248"/>
      <c r="N134" s="248"/>
      <c r="O134" s="190"/>
      <c r="P134" s="154"/>
      <c r="Q134" s="154"/>
      <c r="R134" s="154"/>
      <c r="S134" s="154"/>
      <c r="T134" s="307"/>
      <c r="U134" s="341"/>
      <c r="V134" s="341"/>
      <c r="W134" s="341"/>
      <c r="X134" s="342"/>
      <c r="Y134" s="342"/>
      <c r="Z134" s="331"/>
      <c r="AA134" s="154"/>
      <c r="AB134" s="340"/>
      <c r="AC134" s="341"/>
      <c r="AD134" s="341"/>
      <c r="AE134" s="341"/>
      <c r="AF134" s="342"/>
      <c r="AG134" s="342"/>
      <c r="AH134" s="340"/>
      <c r="AI134" s="154"/>
      <c r="AJ134" s="154"/>
    </row>
    <row r="135" spans="1:36" x14ac:dyDescent="0.25">
      <c r="A135" s="311"/>
      <c r="B135" s="312"/>
      <c r="C135" s="312"/>
      <c r="D135" s="310"/>
      <c r="E135" s="310"/>
      <c r="F135" s="237"/>
      <c r="G135" s="237"/>
      <c r="H135" s="312"/>
      <c r="I135" s="248"/>
      <c r="J135" s="248"/>
      <c r="K135" s="248"/>
      <c r="L135" s="248"/>
      <c r="M135" s="248"/>
      <c r="N135" s="248"/>
      <c r="O135" s="190"/>
      <c r="P135" s="154"/>
      <c r="Q135" s="154"/>
      <c r="R135" s="154"/>
      <c r="S135" s="154"/>
      <c r="T135" s="307"/>
      <c r="U135" s="341"/>
      <c r="V135" s="341"/>
      <c r="W135" s="341"/>
      <c r="X135" s="342"/>
      <c r="Y135" s="342"/>
      <c r="Z135" s="331"/>
      <c r="AA135" s="154"/>
      <c r="AB135" s="340"/>
      <c r="AC135" s="341"/>
      <c r="AD135" s="341"/>
      <c r="AE135" s="341"/>
      <c r="AF135" s="342"/>
      <c r="AG135" s="342"/>
      <c r="AH135" s="340"/>
      <c r="AI135" s="154"/>
      <c r="AJ135" s="154"/>
    </row>
    <row r="136" spans="1:36" x14ac:dyDescent="0.25">
      <c r="A136" s="343"/>
      <c r="B136" s="312"/>
      <c r="C136" s="312"/>
      <c r="D136" s="310"/>
      <c r="E136" s="310"/>
      <c r="F136" s="310"/>
      <c r="G136" s="310"/>
      <c r="H136" s="312"/>
      <c r="I136" s="248"/>
      <c r="J136" s="248"/>
      <c r="K136" s="248"/>
      <c r="L136" s="248"/>
      <c r="M136" s="248"/>
      <c r="N136" s="248"/>
      <c r="O136" s="190"/>
      <c r="P136" s="154"/>
      <c r="Q136" s="154"/>
      <c r="R136" s="154"/>
      <c r="S136" s="154"/>
      <c r="T136" s="307"/>
      <c r="U136" s="341"/>
      <c r="V136" s="341"/>
      <c r="W136" s="341"/>
      <c r="X136" s="342"/>
      <c r="Y136" s="342"/>
      <c r="Z136" s="331"/>
      <c r="AA136" s="154"/>
      <c r="AB136" s="340"/>
      <c r="AC136" s="341"/>
      <c r="AD136" s="341"/>
      <c r="AE136" s="341"/>
      <c r="AF136" s="342"/>
      <c r="AG136" s="342"/>
      <c r="AH136" s="340"/>
      <c r="AI136" s="154"/>
      <c r="AJ136" s="154"/>
    </row>
    <row r="137" spans="1:36" x14ac:dyDescent="0.25">
      <c r="A137" s="343"/>
      <c r="B137" s="312"/>
      <c r="C137" s="312"/>
      <c r="D137" s="310"/>
      <c r="E137" s="310"/>
      <c r="F137" s="310"/>
      <c r="G137" s="310"/>
      <c r="H137" s="312"/>
      <c r="I137" s="248"/>
      <c r="J137" s="248"/>
      <c r="K137" s="248"/>
      <c r="L137" s="248"/>
      <c r="M137" s="248"/>
      <c r="N137" s="248"/>
      <c r="O137" s="190"/>
      <c r="P137" s="154"/>
      <c r="Q137" s="154"/>
      <c r="R137" s="154"/>
      <c r="S137" s="154"/>
      <c r="T137" s="307"/>
      <c r="U137" s="341"/>
      <c r="V137" s="341"/>
      <c r="W137" s="341"/>
      <c r="X137" s="342"/>
      <c r="Y137" s="342"/>
      <c r="Z137" s="331"/>
      <c r="AA137" s="154"/>
      <c r="AB137" s="340"/>
      <c r="AC137" s="341"/>
      <c r="AD137" s="341"/>
      <c r="AE137" s="341"/>
      <c r="AF137" s="342"/>
      <c r="AG137" s="342"/>
      <c r="AH137" s="340"/>
      <c r="AI137" s="154"/>
      <c r="AJ137" s="154"/>
    </row>
    <row r="138" spans="1:36" x14ac:dyDescent="0.25">
      <c r="A138" s="343"/>
      <c r="B138" s="312"/>
      <c r="C138" s="312"/>
      <c r="D138" s="310"/>
      <c r="E138" s="310"/>
      <c r="F138" s="310"/>
      <c r="G138" s="310"/>
      <c r="H138" s="312"/>
      <c r="I138" s="248"/>
      <c r="J138" s="248"/>
      <c r="K138" s="248"/>
      <c r="L138" s="248"/>
      <c r="M138" s="248"/>
      <c r="N138" s="248"/>
      <c r="O138" s="190"/>
      <c r="P138" s="154"/>
      <c r="Q138" s="154"/>
      <c r="R138" s="154"/>
      <c r="S138" s="154"/>
      <c r="T138" s="307"/>
      <c r="U138" s="341"/>
      <c r="V138" s="341"/>
      <c r="W138" s="341"/>
      <c r="X138" s="342"/>
      <c r="Y138" s="342"/>
      <c r="Z138" s="331"/>
      <c r="AA138" s="154"/>
      <c r="AB138" s="340"/>
      <c r="AC138" s="341"/>
      <c r="AD138" s="341"/>
      <c r="AE138" s="341"/>
      <c r="AF138" s="342"/>
      <c r="AG138" s="342"/>
      <c r="AH138" s="340"/>
      <c r="AI138" s="154"/>
      <c r="AJ138" s="154"/>
    </row>
    <row r="139" spans="1:36" x14ac:dyDescent="0.25">
      <c r="A139" s="343"/>
      <c r="B139" s="312"/>
      <c r="C139" s="312"/>
      <c r="D139" s="310"/>
      <c r="E139" s="310"/>
      <c r="F139" s="310"/>
      <c r="G139" s="310"/>
      <c r="H139" s="312"/>
      <c r="I139" s="248"/>
      <c r="J139" s="248"/>
      <c r="K139" s="248"/>
      <c r="L139" s="248"/>
      <c r="M139" s="248"/>
      <c r="N139" s="248"/>
      <c r="O139" s="190"/>
      <c r="P139" s="154"/>
      <c r="Q139" s="154"/>
      <c r="R139" s="154"/>
      <c r="S139" s="154"/>
      <c r="T139" s="307"/>
      <c r="U139" s="341"/>
      <c r="V139" s="341"/>
      <c r="W139" s="341"/>
      <c r="X139" s="342"/>
      <c r="Y139" s="342"/>
      <c r="Z139" s="331"/>
      <c r="AA139" s="154"/>
      <c r="AB139" s="340"/>
      <c r="AC139" s="341"/>
      <c r="AD139" s="341"/>
      <c r="AE139" s="341"/>
      <c r="AF139" s="342"/>
      <c r="AG139" s="342"/>
      <c r="AH139" s="340"/>
      <c r="AI139" s="154"/>
      <c r="AJ139" s="154"/>
    </row>
    <row r="140" spans="1:36" x14ac:dyDescent="0.25">
      <c r="A140" s="343"/>
      <c r="B140" s="312"/>
      <c r="C140" s="312"/>
      <c r="D140" s="310"/>
      <c r="E140" s="310"/>
      <c r="F140" s="310"/>
      <c r="G140" s="310"/>
      <c r="H140" s="312"/>
      <c r="I140" s="248"/>
      <c r="J140" s="248"/>
      <c r="K140" s="248"/>
      <c r="L140" s="248"/>
      <c r="M140" s="248"/>
      <c r="N140" s="248"/>
      <c r="O140" s="190"/>
      <c r="P140" s="154"/>
      <c r="Q140" s="154"/>
      <c r="R140" s="154"/>
      <c r="S140" s="154"/>
      <c r="T140" s="307"/>
      <c r="U140" s="341"/>
      <c r="V140" s="341"/>
      <c r="W140" s="341"/>
      <c r="X140" s="342"/>
      <c r="Y140" s="342"/>
      <c r="Z140" s="331"/>
      <c r="AA140" s="154"/>
      <c r="AB140" s="340"/>
      <c r="AC140" s="341"/>
      <c r="AD140" s="341"/>
      <c r="AE140" s="341"/>
      <c r="AF140" s="342"/>
      <c r="AG140" s="342"/>
      <c r="AH140" s="340"/>
      <c r="AI140" s="154"/>
      <c r="AJ140" s="154"/>
    </row>
    <row r="141" spans="1:36" x14ac:dyDescent="0.25">
      <c r="A141" s="343"/>
      <c r="B141" s="312"/>
      <c r="C141" s="312"/>
      <c r="D141" s="310"/>
      <c r="E141" s="310"/>
      <c r="F141" s="310"/>
      <c r="G141" s="310"/>
      <c r="H141" s="312"/>
      <c r="I141" s="248"/>
      <c r="J141" s="248"/>
      <c r="K141" s="248"/>
      <c r="L141" s="248"/>
      <c r="M141" s="248"/>
      <c r="N141" s="248"/>
      <c r="O141" s="190"/>
      <c r="P141" s="154"/>
      <c r="Q141" s="154"/>
      <c r="R141" s="154"/>
      <c r="S141" s="154"/>
      <c r="T141" s="307"/>
      <c r="U141" s="341"/>
      <c r="V141" s="341"/>
      <c r="W141" s="341"/>
      <c r="X141" s="342"/>
      <c r="Y141" s="342"/>
      <c r="Z141" s="331"/>
      <c r="AA141" s="154"/>
      <c r="AB141" s="340"/>
      <c r="AC141" s="341"/>
      <c r="AD141" s="341"/>
      <c r="AE141" s="341"/>
      <c r="AF141" s="342"/>
      <c r="AG141" s="342"/>
      <c r="AH141" s="340"/>
      <c r="AI141" s="154"/>
      <c r="AJ141" s="154"/>
    </row>
    <row r="142" spans="1:36" x14ac:dyDescent="0.25">
      <c r="A142" s="343"/>
      <c r="B142" s="312"/>
      <c r="C142" s="312"/>
      <c r="D142" s="310"/>
      <c r="E142" s="310"/>
      <c r="F142" s="310"/>
      <c r="G142" s="310"/>
      <c r="H142" s="312"/>
      <c r="I142" s="248"/>
      <c r="J142" s="248"/>
      <c r="K142" s="248"/>
      <c r="L142" s="248"/>
      <c r="M142" s="248"/>
      <c r="N142" s="248"/>
      <c r="O142" s="190"/>
      <c r="P142" s="154"/>
      <c r="Q142" s="154"/>
      <c r="R142" s="154"/>
      <c r="S142" s="154"/>
      <c r="T142" s="307"/>
      <c r="U142" s="341"/>
      <c r="V142" s="341"/>
      <c r="W142" s="341"/>
      <c r="X142" s="342"/>
      <c r="Y142" s="342"/>
      <c r="Z142" s="331"/>
      <c r="AA142" s="154"/>
      <c r="AB142" s="340"/>
      <c r="AC142" s="341"/>
      <c r="AD142" s="341"/>
      <c r="AE142" s="341"/>
      <c r="AF142" s="342"/>
      <c r="AG142" s="342"/>
      <c r="AH142" s="340"/>
      <c r="AI142" s="154"/>
      <c r="AJ142" s="154"/>
    </row>
    <row r="143" spans="1:36" x14ac:dyDescent="0.25">
      <c r="A143" s="343"/>
      <c r="B143" s="312"/>
      <c r="C143" s="312"/>
      <c r="D143" s="310"/>
      <c r="E143" s="310"/>
      <c r="F143" s="310"/>
      <c r="G143" s="310"/>
      <c r="H143" s="312"/>
      <c r="I143" s="248"/>
      <c r="J143" s="248"/>
      <c r="K143" s="248"/>
      <c r="L143" s="248"/>
      <c r="M143" s="248"/>
      <c r="N143" s="248"/>
      <c r="O143" s="190"/>
      <c r="P143" s="154"/>
      <c r="Q143" s="154"/>
      <c r="R143" s="154"/>
      <c r="S143" s="154"/>
      <c r="T143" s="307"/>
      <c r="U143" s="341"/>
      <c r="V143" s="341"/>
      <c r="W143" s="341"/>
      <c r="X143" s="342"/>
      <c r="Y143" s="342"/>
      <c r="Z143" s="331"/>
      <c r="AA143" s="154"/>
      <c r="AB143" s="340"/>
      <c r="AC143" s="341"/>
      <c r="AD143" s="341"/>
      <c r="AE143" s="341"/>
      <c r="AF143" s="342"/>
      <c r="AG143" s="342"/>
      <c r="AH143" s="340"/>
      <c r="AI143" s="154"/>
      <c r="AJ143" s="154"/>
    </row>
    <row r="144" spans="1:36" x14ac:dyDescent="0.25">
      <c r="A144" s="343"/>
      <c r="B144" s="312"/>
      <c r="C144" s="312"/>
      <c r="D144" s="310"/>
      <c r="E144" s="310"/>
      <c r="F144" s="310"/>
      <c r="G144" s="310"/>
      <c r="H144" s="312"/>
      <c r="I144" s="248"/>
      <c r="J144" s="248"/>
      <c r="K144" s="248"/>
      <c r="L144" s="248"/>
      <c r="M144" s="248"/>
      <c r="N144" s="248"/>
      <c r="O144" s="190"/>
      <c r="P144" s="154"/>
      <c r="Q144" s="154"/>
      <c r="R144" s="154"/>
      <c r="S144" s="154"/>
      <c r="T144" s="307"/>
      <c r="U144" s="341"/>
      <c r="V144" s="341"/>
      <c r="W144" s="341"/>
      <c r="X144" s="342"/>
      <c r="Y144" s="342"/>
      <c r="Z144" s="331"/>
      <c r="AA144" s="154"/>
      <c r="AB144" s="340"/>
      <c r="AC144" s="341"/>
      <c r="AD144" s="341"/>
      <c r="AE144" s="341"/>
      <c r="AF144" s="342"/>
      <c r="AG144" s="342"/>
      <c r="AH144" s="340"/>
      <c r="AI144" s="154"/>
      <c r="AJ144" s="154"/>
    </row>
    <row r="145" spans="1:36" x14ac:dyDescent="0.25">
      <c r="A145" s="343"/>
      <c r="B145" s="312"/>
      <c r="C145" s="312"/>
      <c r="D145" s="310"/>
      <c r="E145" s="310"/>
      <c r="F145" s="310"/>
      <c r="G145" s="310"/>
      <c r="H145" s="312"/>
      <c r="I145" s="248"/>
      <c r="J145" s="248"/>
      <c r="K145" s="248"/>
      <c r="L145" s="248"/>
      <c r="M145" s="248"/>
      <c r="N145" s="248"/>
      <c r="O145" s="190"/>
      <c r="P145" s="154"/>
      <c r="Q145" s="154"/>
      <c r="R145" s="154"/>
      <c r="S145" s="154"/>
      <c r="T145" s="307"/>
      <c r="U145" s="341"/>
      <c r="V145" s="341"/>
      <c r="W145" s="341"/>
      <c r="X145" s="342"/>
      <c r="Y145" s="342"/>
      <c r="Z145" s="331"/>
      <c r="AA145" s="154"/>
      <c r="AB145" s="340"/>
      <c r="AC145" s="341"/>
      <c r="AD145" s="341"/>
      <c r="AE145" s="341"/>
      <c r="AF145" s="342"/>
      <c r="AG145" s="342"/>
      <c r="AH145" s="340"/>
      <c r="AI145" s="154"/>
      <c r="AJ145" s="154"/>
    </row>
    <row r="146" spans="1:36" x14ac:dyDescent="0.25">
      <c r="A146" s="343"/>
      <c r="B146" s="312"/>
      <c r="C146" s="312"/>
      <c r="D146" s="310"/>
      <c r="E146" s="310"/>
      <c r="F146" s="310"/>
      <c r="G146" s="310"/>
      <c r="H146" s="312"/>
      <c r="I146" s="248"/>
      <c r="J146" s="248"/>
      <c r="K146" s="248"/>
      <c r="L146" s="248"/>
      <c r="M146" s="248"/>
      <c r="N146" s="248"/>
      <c r="O146" s="190"/>
      <c r="P146" s="154"/>
      <c r="Q146" s="154"/>
      <c r="R146" s="154"/>
      <c r="S146" s="154"/>
      <c r="T146" s="307"/>
      <c r="U146" s="341"/>
      <c r="V146" s="341"/>
      <c r="W146" s="341"/>
      <c r="X146" s="342"/>
      <c r="Y146" s="342"/>
      <c r="Z146" s="331"/>
      <c r="AA146" s="154"/>
      <c r="AB146" s="340"/>
      <c r="AC146" s="341"/>
      <c r="AD146" s="341"/>
      <c r="AE146" s="341"/>
      <c r="AF146" s="342"/>
      <c r="AG146" s="342"/>
      <c r="AH146" s="340"/>
      <c r="AI146" s="154"/>
      <c r="AJ146" s="154"/>
    </row>
    <row r="147" spans="1:36" x14ac:dyDescent="0.25">
      <c r="A147" s="343"/>
      <c r="B147" s="312"/>
      <c r="C147" s="312"/>
      <c r="D147" s="310"/>
      <c r="E147" s="310"/>
      <c r="F147" s="310"/>
      <c r="G147" s="310"/>
      <c r="H147" s="312"/>
      <c r="I147" s="248"/>
      <c r="J147" s="248"/>
      <c r="K147" s="248"/>
      <c r="L147" s="248"/>
      <c r="M147" s="248"/>
      <c r="N147" s="248"/>
      <c r="O147" s="190"/>
      <c r="P147" s="154"/>
      <c r="Q147" s="154"/>
      <c r="R147" s="154"/>
      <c r="S147" s="154"/>
      <c r="T147" s="307"/>
      <c r="U147" s="341"/>
      <c r="V147" s="341"/>
      <c r="W147" s="341"/>
      <c r="X147" s="342"/>
      <c r="Y147" s="342"/>
      <c r="Z147" s="331"/>
      <c r="AA147" s="154"/>
      <c r="AB147" s="340"/>
      <c r="AC147" s="341"/>
      <c r="AD147" s="341"/>
      <c r="AE147" s="341"/>
      <c r="AF147" s="342"/>
      <c r="AG147" s="342"/>
      <c r="AH147" s="340"/>
      <c r="AI147" s="154"/>
      <c r="AJ147" s="154"/>
    </row>
    <row r="148" spans="1:36" x14ac:dyDescent="0.25">
      <c r="A148" s="343"/>
      <c r="B148" s="312"/>
      <c r="C148" s="312"/>
      <c r="D148" s="310"/>
      <c r="E148" s="310"/>
      <c r="F148" s="310"/>
      <c r="G148" s="310"/>
      <c r="H148" s="312"/>
      <c r="I148" s="248"/>
      <c r="J148" s="248"/>
      <c r="K148" s="248"/>
      <c r="L148" s="248"/>
      <c r="M148" s="248"/>
      <c r="N148" s="248"/>
      <c r="O148" s="190"/>
      <c r="P148" s="154"/>
      <c r="Q148" s="154"/>
      <c r="R148" s="154"/>
      <c r="S148" s="154"/>
      <c r="T148" s="307"/>
      <c r="U148" s="341"/>
      <c r="V148" s="341"/>
      <c r="W148" s="341"/>
      <c r="X148" s="342"/>
      <c r="Y148" s="342"/>
      <c r="Z148" s="331"/>
      <c r="AA148" s="154"/>
      <c r="AB148" s="340"/>
      <c r="AC148" s="341"/>
      <c r="AD148" s="341"/>
      <c r="AE148" s="341"/>
      <c r="AF148" s="342"/>
      <c r="AG148" s="342"/>
      <c r="AH148" s="340"/>
      <c r="AI148" s="154"/>
      <c r="AJ148" s="154"/>
    </row>
    <row r="149" spans="1:36" x14ac:dyDescent="0.25">
      <c r="A149" s="343"/>
      <c r="B149" s="312"/>
      <c r="C149" s="312"/>
      <c r="D149" s="310"/>
      <c r="E149" s="310"/>
      <c r="F149" s="310"/>
      <c r="G149" s="310"/>
      <c r="H149" s="312"/>
      <c r="I149" s="248"/>
      <c r="J149" s="248"/>
      <c r="K149" s="248"/>
      <c r="L149" s="248"/>
      <c r="M149" s="248"/>
      <c r="N149" s="248"/>
      <c r="O149" s="190"/>
      <c r="P149" s="154"/>
      <c r="Q149" s="154"/>
      <c r="R149" s="154"/>
      <c r="S149" s="154"/>
      <c r="T149" s="307"/>
      <c r="U149" s="341"/>
      <c r="V149" s="341"/>
      <c r="W149" s="341"/>
      <c r="X149" s="342"/>
      <c r="Y149" s="342"/>
      <c r="Z149" s="331"/>
      <c r="AA149" s="154"/>
      <c r="AB149" s="340"/>
      <c r="AC149" s="341"/>
      <c r="AD149" s="341"/>
      <c r="AE149" s="341"/>
      <c r="AF149" s="342"/>
      <c r="AG149" s="342"/>
      <c r="AH149" s="340"/>
      <c r="AI149" s="154"/>
      <c r="AJ149" s="154"/>
    </row>
    <row r="150" spans="1:36" x14ac:dyDescent="0.25">
      <c r="A150" s="343"/>
      <c r="B150" s="312"/>
      <c r="C150" s="312"/>
      <c r="D150" s="310"/>
      <c r="E150" s="310"/>
      <c r="F150" s="310"/>
      <c r="G150" s="310"/>
      <c r="H150" s="312"/>
      <c r="I150" s="248"/>
      <c r="J150" s="248"/>
      <c r="K150" s="248"/>
      <c r="L150" s="248"/>
      <c r="M150" s="248"/>
      <c r="N150" s="248"/>
      <c r="O150" s="190"/>
      <c r="P150" s="154"/>
      <c r="Q150" s="154"/>
      <c r="R150" s="154"/>
      <c r="S150" s="154"/>
      <c r="T150" s="307"/>
      <c r="U150" s="341"/>
      <c r="V150" s="341"/>
      <c r="W150" s="341"/>
      <c r="X150" s="342"/>
      <c r="Y150" s="342"/>
      <c r="Z150" s="331"/>
      <c r="AA150" s="154"/>
      <c r="AB150" s="340"/>
      <c r="AC150" s="341"/>
      <c r="AD150" s="341"/>
      <c r="AE150" s="341"/>
      <c r="AF150" s="342"/>
      <c r="AG150" s="342"/>
      <c r="AH150" s="340"/>
      <c r="AI150" s="154"/>
      <c r="AJ150" s="154"/>
    </row>
    <row r="151" spans="1:36" x14ac:dyDescent="0.25">
      <c r="A151" s="343"/>
      <c r="B151" s="312"/>
      <c r="C151" s="312"/>
      <c r="D151" s="310"/>
      <c r="E151" s="310"/>
      <c r="F151" s="310"/>
      <c r="G151" s="310"/>
      <c r="H151" s="312"/>
      <c r="I151" s="248"/>
      <c r="J151" s="248"/>
      <c r="K151" s="248"/>
      <c r="L151" s="248"/>
      <c r="M151" s="248"/>
      <c r="N151" s="248"/>
      <c r="O151" s="190"/>
      <c r="P151" s="154"/>
      <c r="Q151" s="154"/>
      <c r="R151" s="154"/>
      <c r="S151" s="154"/>
      <c r="T151" s="307"/>
      <c r="U151" s="341"/>
      <c r="V151" s="341"/>
      <c r="W151" s="341"/>
      <c r="X151" s="342"/>
      <c r="Y151" s="342"/>
      <c r="Z151" s="331"/>
      <c r="AA151" s="154"/>
      <c r="AB151" s="340"/>
      <c r="AC151" s="341"/>
      <c r="AD151" s="341"/>
      <c r="AE151" s="341"/>
      <c r="AF151" s="342"/>
      <c r="AG151" s="342"/>
      <c r="AH151" s="340"/>
      <c r="AI151" s="154"/>
      <c r="AJ151" s="154"/>
    </row>
    <row r="152" spans="1:36" x14ac:dyDescent="0.25">
      <c r="A152" s="343"/>
      <c r="B152" s="312"/>
      <c r="C152" s="312"/>
      <c r="D152" s="310"/>
      <c r="E152" s="310"/>
      <c r="F152" s="310"/>
      <c r="G152" s="310"/>
      <c r="H152" s="312"/>
      <c r="I152" s="248"/>
      <c r="J152" s="248"/>
      <c r="K152" s="248"/>
      <c r="L152" s="248"/>
      <c r="M152" s="248"/>
      <c r="N152" s="248"/>
      <c r="O152" s="190"/>
      <c r="P152" s="154"/>
      <c r="Q152" s="154"/>
      <c r="R152" s="154"/>
      <c r="S152" s="154"/>
      <c r="T152" s="307"/>
      <c r="U152" s="341"/>
      <c r="V152" s="341"/>
      <c r="W152" s="341"/>
      <c r="X152" s="342"/>
      <c r="Y152" s="342"/>
      <c r="Z152" s="331"/>
      <c r="AA152" s="154"/>
      <c r="AB152" s="340"/>
      <c r="AC152" s="341"/>
      <c r="AD152" s="341"/>
      <c r="AE152" s="341"/>
      <c r="AF152" s="342"/>
      <c r="AG152" s="342"/>
      <c r="AH152" s="340"/>
      <c r="AI152" s="154"/>
      <c r="AJ152" s="154"/>
    </row>
    <row r="153" spans="1:36" x14ac:dyDescent="0.25">
      <c r="A153" s="343"/>
      <c r="B153" s="312"/>
      <c r="C153" s="312"/>
      <c r="D153" s="310"/>
      <c r="E153" s="310"/>
      <c r="F153" s="310"/>
      <c r="G153" s="310"/>
      <c r="H153" s="312"/>
      <c r="I153" s="248"/>
      <c r="J153" s="248"/>
      <c r="K153" s="248"/>
      <c r="L153" s="248"/>
      <c r="M153" s="248"/>
      <c r="N153" s="248"/>
      <c r="O153" s="190"/>
      <c r="P153" s="154"/>
      <c r="Q153" s="154"/>
      <c r="R153" s="154"/>
      <c r="S153" s="154"/>
      <c r="T153" s="307"/>
      <c r="U153" s="341"/>
      <c r="V153" s="341"/>
      <c r="W153" s="341"/>
      <c r="X153" s="342"/>
      <c r="Y153" s="342"/>
      <c r="Z153" s="331"/>
      <c r="AA153" s="154"/>
      <c r="AB153" s="340"/>
      <c r="AC153" s="341"/>
      <c r="AD153" s="341"/>
      <c r="AE153" s="341"/>
      <c r="AF153" s="342"/>
      <c r="AG153" s="342"/>
      <c r="AH153" s="340"/>
      <c r="AI153" s="154"/>
      <c r="AJ153" s="154"/>
    </row>
    <row r="154" spans="1:36" x14ac:dyDescent="0.25">
      <c r="A154" s="343"/>
      <c r="B154" s="312"/>
      <c r="C154" s="312"/>
      <c r="D154" s="310"/>
      <c r="E154" s="310"/>
      <c r="F154" s="310"/>
      <c r="G154" s="310"/>
      <c r="H154" s="312"/>
      <c r="I154" s="248"/>
      <c r="J154" s="248"/>
      <c r="K154" s="248"/>
      <c r="L154" s="248"/>
      <c r="M154" s="248"/>
      <c r="N154" s="248"/>
      <c r="O154" s="190"/>
      <c r="P154" s="154"/>
      <c r="Q154" s="154"/>
      <c r="R154" s="154"/>
      <c r="S154" s="154"/>
      <c r="T154" s="307"/>
      <c r="U154" s="341"/>
      <c r="V154" s="341"/>
      <c r="W154" s="341"/>
      <c r="X154" s="342"/>
      <c r="Y154" s="342"/>
      <c r="Z154" s="331"/>
      <c r="AA154" s="154"/>
      <c r="AB154" s="340"/>
      <c r="AC154" s="341"/>
      <c r="AD154" s="341"/>
      <c r="AE154" s="341"/>
      <c r="AF154" s="342"/>
      <c r="AG154" s="342"/>
      <c r="AH154" s="340"/>
      <c r="AI154" s="154"/>
      <c r="AJ154" s="154"/>
    </row>
    <row r="155" spans="1:36" x14ac:dyDescent="0.25">
      <c r="A155" s="343"/>
      <c r="B155" s="312"/>
      <c r="C155" s="312"/>
      <c r="D155" s="310"/>
      <c r="E155" s="310"/>
      <c r="F155" s="310"/>
      <c r="G155" s="310"/>
      <c r="H155" s="312"/>
      <c r="I155" s="248"/>
      <c r="J155" s="248"/>
      <c r="K155" s="248"/>
      <c r="L155" s="248"/>
      <c r="M155" s="248"/>
      <c r="N155" s="248"/>
      <c r="O155" s="190"/>
      <c r="P155" s="154"/>
      <c r="Q155" s="154"/>
      <c r="R155" s="154"/>
      <c r="S155" s="154"/>
      <c r="T155" s="307"/>
      <c r="U155" s="341"/>
      <c r="V155" s="341"/>
      <c r="W155" s="341"/>
      <c r="X155" s="342"/>
      <c r="Y155" s="342"/>
      <c r="Z155" s="331"/>
      <c r="AA155" s="154"/>
      <c r="AB155" s="340"/>
      <c r="AC155" s="341"/>
      <c r="AD155" s="341"/>
      <c r="AE155" s="341"/>
      <c r="AF155" s="342"/>
      <c r="AG155" s="342"/>
      <c r="AH155" s="340"/>
      <c r="AI155" s="154"/>
      <c r="AJ155" s="154"/>
    </row>
    <row r="156" spans="1:36" x14ac:dyDescent="0.25">
      <c r="A156" s="343"/>
      <c r="B156" s="312"/>
      <c r="C156" s="312"/>
      <c r="D156" s="310"/>
      <c r="E156" s="310"/>
      <c r="F156" s="310"/>
      <c r="G156" s="310"/>
      <c r="H156" s="312"/>
      <c r="I156" s="248"/>
      <c r="J156" s="248"/>
      <c r="K156" s="248"/>
      <c r="L156" s="248"/>
      <c r="M156" s="248"/>
      <c r="N156" s="248"/>
      <c r="O156" s="190"/>
      <c r="P156" s="154"/>
      <c r="Q156" s="154"/>
      <c r="R156" s="154"/>
      <c r="S156" s="154"/>
      <c r="T156" s="307"/>
      <c r="U156" s="341"/>
      <c r="V156" s="341"/>
      <c r="W156" s="341"/>
      <c r="X156" s="342"/>
      <c r="Y156" s="342"/>
      <c r="Z156" s="331"/>
      <c r="AA156" s="154"/>
      <c r="AB156" s="340"/>
      <c r="AC156" s="341"/>
      <c r="AD156" s="341"/>
      <c r="AE156" s="341"/>
      <c r="AF156" s="342"/>
      <c r="AG156" s="342"/>
      <c r="AH156" s="340"/>
      <c r="AI156" s="154"/>
      <c r="AJ156" s="154"/>
    </row>
    <row r="157" spans="1:36" x14ac:dyDescent="0.25">
      <c r="A157" s="343"/>
      <c r="B157" s="312"/>
      <c r="C157" s="312"/>
      <c r="D157" s="310"/>
      <c r="E157" s="310"/>
      <c r="F157" s="310"/>
      <c r="G157" s="310"/>
      <c r="H157" s="312"/>
      <c r="I157" s="248"/>
      <c r="J157" s="248"/>
      <c r="K157" s="248"/>
      <c r="L157" s="248"/>
      <c r="M157" s="248"/>
      <c r="N157" s="248"/>
      <c r="O157" s="190"/>
      <c r="P157" s="154"/>
      <c r="Q157" s="154"/>
      <c r="R157" s="154"/>
      <c r="S157" s="154"/>
      <c r="T157" s="307"/>
      <c r="U157" s="341"/>
      <c r="V157" s="341"/>
      <c r="W157" s="341"/>
      <c r="X157" s="342"/>
      <c r="Y157" s="342"/>
      <c r="Z157" s="331"/>
      <c r="AA157" s="154"/>
      <c r="AB157" s="340"/>
      <c r="AC157" s="341"/>
      <c r="AD157" s="341"/>
      <c r="AE157" s="341"/>
      <c r="AF157" s="342"/>
      <c r="AG157" s="342"/>
      <c r="AH157" s="340"/>
      <c r="AI157" s="154"/>
      <c r="AJ157" s="154"/>
    </row>
    <row r="158" spans="1:36" x14ac:dyDescent="0.25">
      <c r="A158" s="343"/>
      <c r="B158" s="312"/>
      <c r="C158" s="312"/>
      <c r="D158" s="310"/>
      <c r="E158" s="310"/>
      <c r="F158" s="310"/>
      <c r="G158" s="310"/>
      <c r="H158" s="312"/>
      <c r="I158" s="248"/>
      <c r="J158" s="248"/>
      <c r="K158" s="248"/>
      <c r="L158" s="248"/>
      <c r="M158" s="248"/>
      <c r="N158" s="248"/>
      <c r="O158" s="190"/>
      <c r="P158" s="154"/>
      <c r="Q158" s="154"/>
      <c r="R158" s="154"/>
      <c r="S158" s="154"/>
      <c r="T158" s="307"/>
      <c r="U158" s="341"/>
      <c r="V158" s="341"/>
      <c r="W158" s="341"/>
      <c r="X158" s="342"/>
      <c r="Y158" s="342"/>
      <c r="Z158" s="331"/>
      <c r="AA158" s="154"/>
      <c r="AB158" s="340"/>
      <c r="AC158" s="341"/>
      <c r="AD158" s="341"/>
      <c r="AE158" s="341"/>
      <c r="AF158" s="342"/>
      <c r="AG158" s="342"/>
      <c r="AH158" s="340"/>
      <c r="AI158" s="154"/>
      <c r="AJ158" s="154"/>
    </row>
    <row r="159" spans="1:36" x14ac:dyDescent="0.25">
      <c r="A159" s="343"/>
      <c r="B159" s="312"/>
      <c r="C159" s="312"/>
      <c r="D159" s="310"/>
      <c r="E159" s="310"/>
      <c r="F159" s="310"/>
      <c r="G159" s="310"/>
      <c r="H159" s="312"/>
      <c r="I159" s="248"/>
      <c r="J159" s="248"/>
      <c r="K159" s="248"/>
      <c r="L159" s="248"/>
      <c r="M159" s="248"/>
      <c r="N159" s="248"/>
      <c r="O159" s="190"/>
      <c r="P159" s="154"/>
      <c r="Q159" s="154"/>
      <c r="R159" s="154"/>
      <c r="S159" s="154"/>
      <c r="T159" s="307"/>
      <c r="U159" s="341"/>
      <c r="V159" s="341"/>
      <c r="W159" s="341"/>
      <c r="X159" s="342"/>
      <c r="Y159" s="342"/>
      <c r="Z159" s="331"/>
      <c r="AA159" s="154"/>
      <c r="AB159" s="340"/>
      <c r="AC159" s="341"/>
      <c r="AD159" s="341"/>
      <c r="AE159" s="341"/>
      <c r="AF159" s="342"/>
      <c r="AG159" s="342"/>
      <c r="AH159" s="340"/>
      <c r="AI159" s="154"/>
      <c r="AJ159" s="154"/>
    </row>
    <row r="160" spans="1:36" x14ac:dyDescent="0.25">
      <c r="A160" s="343"/>
      <c r="B160" s="312"/>
      <c r="C160" s="312"/>
      <c r="D160" s="310"/>
      <c r="E160" s="310"/>
      <c r="F160" s="310"/>
      <c r="G160" s="310"/>
      <c r="H160" s="312"/>
      <c r="I160" s="248"/>
      <c r="J160" s="248"/>
      <c r="K160" s="248"/>
      <c r="L160" s="248"/>
      <c r="M160" s="248"/>
      <c r="N160" s="248"/>
      <c r="O160" s="190"/>
      <c r="P160" s="154"/>
      <c r="Q160" s="154"/>
      <c r="R160" s="154"/>
      <c r="S160" s="154"/>
      <c r="T160" s="307"/>
      <c r="U160" s="341"/>
      <c r="V160" s="341"/>
      <c r="W160" s="341"/>
      <c r="X160" s="342"/>
      <c r="Y160" s="342"/>
      <c r="Z160" s="331"/>
      <c r="AA160" s="154"/>
      <c r="AB160" s="340"/>
      <c r="AC160" s="341"/>
      <c r="AD160" s="341"/>
      <c r="AE160" s="341"/>
      <c r="AF160" s="342"/>
      <c r="AG160" s="342"/>
      <c r="AH160" s="340"/>
      <c r="AI160" s="154"/>
      <c r="AJ160" s="154"/>
    </row>
    <row r="161" spans="1:36" x14ac:dyDescent="0.25">
      <c r="A161" s="343"/>
      <c r="B161" s="312"/>
      <c r="C161" s="312"/>
      <c r="D161" s="310"/>
      <c r="E161" s="310"/>
      <c r="F161" s="310"/>
      <c r="G161" s="310"/>
      <c r="H161" s="312"/>
      <c r="I161" s="248"/>
      <c r="J161" s="248"/>
      <c r="K161" s="248"/>
      <c r="L161" s="248"/>
      <c r="M161" s="248"/>
      <c r="N161" s="248"/>
      <c r="O161" s="190"/>
      <c r="P161" s="154"/>
      <c r="Q161" s="154"/>
      <c r="R161" s="154"/>
      <c r="S161" s="154"/>
      <c r="T161" s="307"/>
      <c r="U161" s="341"/>
      <c r="V161" s="341"/>
      <c r="W161" s="341"/>
      <c r="X161" s="342"/>
      <c r="Y161" s="342"/>
      <c r="Z161" s="331"/>
      <c r="AA161" s="154"/>
      <c r="AB161" s="340"/>
      <c r="AC161" s="341"/>
      <c r="AD161" s="341"/>
      <c r="AE161" s="341"/>
      <c r="AF161" s="342"/>
      <c r="AG161" s="342"/>
      <c r="AH161" s="340"/>
      <c r="AI161" s="154"/>
      <c r="AJ161" s="154"/>
    </row>
    <row r="162" spans="1:36" x14ac:dyDescent="0.25">
      <c r="A162" s="343"/>
      <c r="B162" s="312"/>
      <c r="C162" s="312"/>
      <c r="D162" s="310"/>
      <c r="E162" s="310"/>
      <c r="F162" s="310"/>
      <c r="G162" s="310"/>
      <c r="H162" s="312"/>
      <c r="I162" s="248"/>
      <c r="J162" s="248"/>
      <c r="K162" s="248"/>
      <c r="L162" s="248"/>
      <c r="M162" s="248"/>
      <c r="N162" s="248"/>
      <c r="O162" s="190"/>
      <c r="P162" s="154"/>
      <c r="Q162" s="154"/>
      <c r="R162" s="154"/>
      <c r="S162" s="154"/>
      <c r="T162" s="307"/>
      <c r="U162" s="341"/>
      <c r="V162" s="341"/>
      <c r="W162" s="341"/>
      <c r="X162" s="342"/>
      <c r="Y162" s="342"/>
      <c r="Z162" s="331"/>
      <c r="AA162" s="154"/>
      <c r="AB162" s="340"/>
      <c r="AC162" s="341"/>
      <c r="AD162" s="341"/>
      <c r="AE162" s="341"/>
      <c r="AF162" s="342"/>
      <c r="AG162" s="342"/>
      <c r="AH162" s="340"/>
      <c r="AI162" s="154"/>
      <c r="AJ162" s="154"/>
    </row>
    <row r="163" spans="1:36" x14ac:dyDescent="0.25">
      <c r="A163" s="343"/>
      <c r="B163" s="312"/>
      <c r="C163" s="312"/>
      <c r="D163" s="310"/>
      <c r="E163" s="310"/>
      <c r="F163" s="310"/>
      <c r="G163" s="310"/>
      <c r="H163" s="312"/>
      <c r="I163" s="248"/>
      <c r="J163" s="248"/>
      <c r="K163" s="248"/>
      <c r="L163" s="248"/>
      <c r="M163" s="248"/>
      <c r="N163" s="248"/>
      <c r="O163" s="190"/>
      <c r="P163" s="154"/>
      <c r="Q163" s="154"/>
      <c r="R163" s="154"/>
      <c r="S163" s="154"/>
      <c r="T163" s="307"/>
      <c r="U163" s="341"/>
      <c r="V163" s="341"/>
      <c r="W163" s="341"/>
      <c r="X163" s="342"/>
      <c r="Y163" s="342"/>
      <c r="Z163" s="331"/>
      <c r="AA163" s="154"/>
      <c r="AB163" s="340"/>
      <c r="AC163" s="341"/>
      <c r="AD163" s="341"/>
      <c r="AE163" s="341"/>
      <c r="AF163" s="342"/>
      <c r="AG163" s="342"/>
      <c r="AH163" s="340"/>
      <c r="AI163" s="154"/>
      <c r="AJ163" s="154"/>
    </row>
    <row r="164" spans="1:36" x14ac:dyDescent="0.25">
      <c r="A164" s="343"/>
      <c r="B164" s="312"/>
      <c r="C164" s="312"/>
      <c r="D164" s="310"/>
      <c r="E164" s="310"/>
      <c r="F164" s="310"/>
      <c r="G164" s="310"/>
      <c r="H164" s="312"/>
      <c r="I164" s="248"/>
      <c r="J164" s="248"/>
      <c r="K164" s="248"/>
      <c r="L164" s="248"/>
      <c r="M164" s="248"/>
      <c r="N164" s="248"/>
      <c r="O164" s="190"/>
      <c r="P164" s="154"/>
      <c r="Q164" s="154"/>
      <c r="R164" s="154"/>
      <c r="S164" s="154"/>
      <c r="T164" s="307"/>
      <c r="U164" s="341"/>
      <c r="V164" s="341"/>
      <c r="W164" s="341"/>
      <c r="X164" s="342"/>
      <c r="Y164" s="342"/>
      <c r="Z164" s="331"/>
      <c r="AA164" s="154"/>
      <c r="AB164" s="340"/>
      <c r="AC164" s="341"/>
      <c r="AD164" s="341"/>
      <c r="AE164" s="341"/>
      <c r="AF164" s="342"/>
      <c r="AG164" s="342"/>
      <c r="AH164" s="340"/>
      <c r="AI164" s="154"/>
      <c r="AJ164" s="154"/>
    </row>
    <row r="165" spans="1:36" x14ac:dyDescent="0.25">
      <c r="A165" s="343"/>
      <c r="B165" s="312"/>
      <c r="C165" s="312"/>
      <c r="D165" s="310"/>
      <c r="E165" s="310"/>
      <c r="F165" s="310"/>
      <c r="G165" s="310"/>
      <c r="H165" s="312"/>
      <c r="I165" s="248"/>
      <c r="J165" s="248"/>
      <c r="K165" s="248"/>
      <c r="L165" s="248"/>
      <c r="M165" s="248"/>
      <c r="N165" s="248"/>
      <c r="O165" s="190"/>
      <c r="P165" s="154"/>
      <c r="Q165" s="154"/>
      <c r="R165" s="154"/>
      <c r="S165" s="154"/>
      <c r="T165" s="307"/>
      <c r="U165" s="341"/>
      <c r="V165" s="341"/>
      <c r="W165" s="341"/>
      <c r="X165" s="342"/>
      <c r="Y165" s="342"/>
      <c r="Z165" s="331"/>
      <c r="AA165" s="154"/>
      <c r="AB165" s="340"/>
      <c r="AC165" s="341"/>
      <c r="AD165" s="341"/>
      <c r="AE165" s="341"/>
      <c r="AF165" s="342"/>
      <c r="AG165" s="342"/>
      <c r="AH165" s="340"/>
      <c r="AI165" s="154"/>
      <c r="AJ165" s="154"/>
    </row>
    <row r="166" spans="1:36" x14ac:dyDescent="0.25">
      <c r="A166" s="343"/>
      <c r="B166" s="312"/>
      <c r="C166" s="312"/>
      <c r="D166" s="310"/>
      <c r="E166" s="310"/>
      <c r="F166" s="310"/>
      <c r="G166" s="310"/>
      <c r="H166" s="312"/>
      <c r="I166" s="248"/>
      <c r="J166" s="248"/>
      <c r="K166" s="248"/>
      <c r="L166" s="248"/>
      <c r="M166" s="248"/>
      <c r="N166" s="248"/>
      <c r="O166" s="190"/>
      <c r="P166" s="154"/>
      <c r="Q166" s="154"/>
      <c r="R166" s="154"/>
      <c r="S166" s="154"/>
      <c r="T166" s="307"/>
      <c r="U166" s="341"/>
      <c r="V166" s="341"/>
      <c r="W166" s="341"/>
      <c r="X166" s="342"/>
      <c r="Y166" s="342"/>
      <c r="Z166" s="331"/>
      <c r="AA166" s="154"/>
      <c r="AB166" s="340"/>
      <c r="AC166" s="341"/>
      <c r="AD166" s="341"/>
      <c r="AE166" s="341"/>
      <c r="AF166" s="342"/>
      <c r="AG166" s="342"/>
      <c r="AH166" s="340"/>
      <c r="AI166" s="154"/>
      <c r="AJ166" s="154"/>
    </row>
    <row r="167" spans="1:36" x14ac:dyDescent="0.25">
      <c r="A167" s="343"/>
      <c r="B167" s="312"/>
      <c r="C167" s="312"/>
      <c r="D167" s="310"/>
      <c r="E167" s="310"/>
      <c r="F167" s="310"/>
      <c r="G167" s="310"/>
      <c r="H167" s="312"/>
      <c r="I167" s="248"/>
      <c r="J167" s="248"/>
      <c r="K167" s="248"/>
      <c r="L167" s="248"/>
      <c r="M167" s="248"/>
      <c r="N167" s="248"/>
      <c r="O167" s="190"/>
      <c r="P167" s="154"/>
      <c r="Q167" s="154"/>
      <c r="R167" s="154"/>
      <c r="S167" s="154"/>
      <c r="T167" s="307"/>
      <c r="U167" s="341"/>
      <c r="V167" s="341"/>
      <c r="W167" s="341"/>
      <c r="X167" s="342"/>
      <c r="Y167" s="342"/>
      <c r="Z167" s="331"/>
      <c r="AA167" s="154"/>
      <c r="AB167" s="340"/>
      <c r="AC167" s="341"/>
      <c r="AD167" s="341"/>
      <c r="AE167" s="341"/>
      <c r="AF167" s="342"/>
      <c r="AG167" s="342"/>
      <c r="AH167" s="340"/>
      <c r="AI167" s="154"/>
      <c r="AJ167" s="154"/>
    </row>
    <row r="168" spans="1:36" ht="15" customHeight="1" x14ac:dyDescent="0.25">
      <c r="A168" s="347"/>
      <c r="B168" s="348"/>
      <c r="C168" s="208"/>
      <c r="D168" s="210"/>
      <c r="E168" s="349"/>
      <c r="F168" s="349"/>
      <c r="G168" s="154"/>
      <c r="H168" s="154"/>
      <c r="I168" s="190"/>
      <c r="J168" s="190"/>
      <c r="K168" s="190"/>
      <c r="L168" s="190"/>
      <c r="M168" s="190"/>
      <c r="N168" s="190"/>
      <c r="O168" s="190"/>
      <c r="P168" s="154"/>
      <c r="Q168" s="154"/>
      <c r="R168" s="154"/>
      <c r="S168" s="248"/>
      <c r="T168" s="350"/>
      <c r="U168" s="237"/>
      <c r="V168" s="223"/>
      <c r="W168" s="209"/>
      <c r="X168" s="310"/>
      <c r="Y168" s="310"/>
      <c r="Z168" s="246"/>
      <c r="AA168" s="154"/>
      <c r="AB168" s="351" t="s">
        <v>62</v>
      </c>
      <c r="AC168" s="281">
        <v>36.53</v>
      </c>
      <c r="AD168" s="282">
        <v>25</v>
      </c>
      <c r="AE168" s="283">
        <v>42.5</v>
      </c>
      <c r="AF168" s="352">
        <v>25</v>
      </c>
      <c r="AG168" s="353"/>
      <c r="AH168" s="354"/>
      <c r="AI168" s="154"/>
      <c r="AJ168" s="154"/>
    </row>
    <row r="169" spans="1:36" x14ac:dyDescent="0.25">
      <c r="A169" s="332"/>
      <c r="B169" s="534"/>
      <c r="C169" s="535"/>
      <c r="D169" s="536"/>
      <c r="E169" s="537"/>
      <c r="F169" s="537"/>
      <c r="G169" s="154"/>
      <c r="H169" s="154"/>
      <c r="I169" s="190"/>
      <c r="J169" s="190"/>
      <c r="K169" s="190"/>
      <c r="L169" s="190"/>
      <c r="M169" s="190"/>
      <c r="N169" s="190"/>
      <c r="O169" s="190"/>
      <c r="P169" s="154"/>
      <c r="Q169" s="154"/>
      <c r="R169" s="154"/>
      <c r="S169" s="248"/>
      <c r="T169" s="342"/>
      <c r="U169" s="237"/>
      <c r="V169" s="223"/>
      <c r="W169" s="209"/>
      <c r="X169" s="310"/>
      <c r="Y169" s="310"/>
      <c r="Z169" s="154"/>
      <c r="AA169" s="154"/>
      <c r="AB169" s="307"/>
      <c r="AC169" s="307"/>
      <c r="AD169" s="307"/>
      <c r="AE169" s="307"/>
      <c r="AF169" s="307"/>
      <c r="AG169" s="307"/>
      <c r="AH169" s="307"/>
      <c r="AI169" s="154"/>
      <c r="AJ169" s="154"/>
    </row>
    <row r="170" spans="1:36" x14ac:dyDescent="0.25">
      <c r="A170" s="332"/>
      <c r="B170" s="333"/>
      <c r="C170" s="333"/>
      <c r="D170" s="333"/>
      <c r="E170" s="329"/>
      <c r="F170" s="329"/>
      <c r="G170" s="154"/>
      <c r="H170" s="154"/>
      <c r="I170" s="190"/>
      <c r="J170" s="190"/>
      <c r="K170" s="190"/>
      <c r="L170" s="190"/>
      <c r="M170" s="190"/>
      <c r="N170" s="190"/>
      <c r="O170" s="190"/>
      <c r="P170" s="154"/>
      <c r="Q170" s="154"/>
      <c r="R170" s="154"/>
      <c r="S170" s="154"/>
      <c r="T170" s="307"/>
      <c r="U170" s="307"/>
      <c r="V170" s="335"/>
      <c r="W170" s="335"/>
      <c r="X170" s="307"/>
      <c r="Y170" s="307"/>
      <c r="Z170" s="154"/>
      <c r="AA170" s="154"/>
      <c r="AB170" s="307"/>
      <c r="AC170" s="462" t="s">
        <v>64</v>
      </c>
      <c r="AD170" s="463"/>
      <c r="AE170" s="463"/>
      <c r="AF170" s="464"/>
      <c r="AG170" s="464"/>
      <c r="AH170" s="307"/>
      <c r="AI170" s="154"/>
      <c r="AJ170" s="154"/>
    </row>
    <row r="171" spans="1:36" ht="13.5" customHeight="1" x14ac:dyDescent="0.25">
      <c r="A171" s="329"/>
      <c r="B171" s="237"/>
      <c r="C171" s="208"/>
      <c r="D171" s="251"/>
      <c r="E171" s="248"/>
      <c r="F171" s="330"/>
      <c r="G171" s="154"/>
      <c r="H171" s="154"/>
      <c r="I171" s="190"/>
      <c r="J171" s="190"/>
      <c r="K171" s="190"/>
      <c r="L171" s="190"/>
      <c r="M171" s="190"/>
      <c r="N171" s="190"/>
      <c r="O171" s="190"/>
      <c r="P171" s="154"/>
      <c r="Q171" s="154"/>
      <c r="R171" s="154"/>
      <c r="S171" s="154"/>
      <c r="T171" s="154"/>
      <c r="U171" s="154"/>
      <c r="V171" s="190"/>
      <c r="W171" s="190"/>
      <c r="X171" s="154"/>
      <c r="Y171" s="154"/>
      <c r="Z171" s="154"/>
      <c r="AA171" s="154"/>
      <c r="AB171" s="307"/>
      <c r="AC171" s="278" t="s">
        <v>50</v>
      </c>
      <c r="AD171" s="278" t="s">
        <v>51</v>
      </c>
      <c r="AE171" s="278" t="s">
        <v>52</v>
      </c>
      <c r="AF171" s="274" t="s">
        <v>53</v>
      </c>
      <c r="AG171" s="274" t="s">
        <v>54</v>
      </c>
      <c r="AH171" s="301"/>
      <c r="AI171" s="154"/>
      <c r="AJ171" s="154"/>
    </row>
    <row r="172" spans="1:36" x14ac:dyDescent="0.25">
      <c r="A172" s="329"/>
      <c r="B172" s="348"/>
      <c r="C172" s="208"/>
      <c r="D172" s="252"/>
      <c r="E172" s="248"/>
      <c r="F172" s="330"/>
      <c r="G172" s="154"/>
      <c r="H172" s="154"/>
      <c r="I172" s="190"/>
      <c r="J172" s="190"/>
      <c r="K172" s="190"/>
      <c r="L172" s="190"/>
      <c r="M172" s="190"/>
      <c r="N172" s="190"/>
      <c r="O172" s="190"/>
      <c r="P172" s="154"/>
      <c r="Q172" s="154"/>
      <c r="R172" s="154"/>
      <c r="S172" s="154"/>
      <c r="T172" s="154"/>
      <c r="U172" s="154"/>
      <c r="V172" s="190"/>
      <c r="W172" s="190"/>
      <c r="X172" s="154"/>
      <c r="Y172" s="154"/>
      <c r="Z172" s="331"/>
      <c r="AA172" s="154"/>
      <c r="AB172" s="298" t="s">
        <v>62</v>
      </c>
      <c r="AC172" s="204">
        <v>1.1399999999999999</v>
      </c>
      <c r="AD172" s="228">
        <v>0.6</v>
      </c>
      <c r="AE172" s="231">
        <v>0.94</v>
      </c>
      <c r="AF172" s="299">
        <v>0.6</v>
      </c>
      <c r="AG172" s="314"/>
      <c r="AH172" s="301"/>
      <c r="AI172" s="154"/>
      <c r="AJ172" s="154"/>
    </row>
    <row r="173" spans="1:36" x14ac:dyDescent="0.25">
      <c r="A173" s="347"/>
      <c r="B173" s="348"/>
      <c r="C173" s="208"/>
      <c r="D173" s="210"/>
      <c r="E173" s="349"/>
      <c r="F173" s="349"/>
      <c r="G173" s="154"/>
      <c r="H173" s="154"/>
      <c r="I173" s="190"/>
      <c r="J173" s="190"/>
      <c r="K173" s="190"/>
      <c r="L173" s="190"/>
      <c r="M173" s="190"/>
      <c r="N173" s="190"/>
      <c r="O173" s="190"/>
      <c r="P173" s="154"/>
      <c r="Q173" s="154"/>
      <c r="R173" s="154"/>
      <c r="S173" s="154"/>
      <c r="T173" s="154"/>
      <c r="U173" s="154"/>
      <c r="V173" s="190"/>
      <c r="W173" s="190"/>
      <c r="X173" s="154"/>
      <c r="Y173" s="154"/>
      <c r="Z173" s="154"/>
      <c r="AA173" s="154"/>
      <c r="AB173" s="154"/>
      <c r="AC173" s="154"/>
      <c r="AD173" s="154"/>
      <c r="AE173" s="154"/>
      <c r="AF173" s="154"/>
      <c r="AG173" s="154"/>
      <c r="AH173" s="154"/>
      <c r="AI173" s="154"/>
      <c r="AJ173" s="154"/>
    </row>
    <row r="174" spans="1:36" x14ac:dyDescent="0.25">
      <c r="A174" s="154"/>
      <c r="B174" s="154"/>
      <c r="C174" s="190"/>
      <c r="D174" s="190"/>
      <c r="E174" s="154"/>
      <c r="F174" s="154"/>
      <c r="G174" s="154"/>
      <c r="H174" s="154"/>
      <c r="I174" s="190"/>
      <c r="J174" s="190"/>
      <c r="K174" s="190"/>
      <c r="L174" s="190"/>
      <c r="M174" s="190"/>
      <c r="N174" s="190"/>
      <c r="O174" s="190"/>
      <c r="P174" s="154"/>
      <c r="Q174" s="154"/>
      <c r="R174" s="154"/>
      <c r="S174" s="154"/>
      <c r="T174" s="154"/>
      <c r="U174" s="154"/>
      <c r="V174" s="190"/>
      <c r="W174" s="190"/>
      <c r="X174" s="154"/>
      <c r="Y174" s="154"/>
      <c r="Z174" s="246"/>
      <c r="AA174" s="154"/>
      <c r="AB174" s="154"/>
      <c r="AC174" s="154"/>
      <c r="AD174" s="154"/>
      <c r="AE174" s="154"/>
      <c r="AF174" s="154"/>
      <c r="AG174" s="154"/>
      <c r="AH174" s="154"/>
      <c r="AI174" s="154"/>
      <c r="AJ174" s="154"/>
    </row>
    <row r="175" spans="1:36" ht="37.5" customHeight="1" x14ac:dyDescent="0.25">
      <c r="A175" s="355"/>
      <c r="B175" s="154"/>
      <c r="C175" s="154"/>
      <c r="D175" s="154"/>
      <c r="E175" s="154"/>
      <c r="F175" s="154"/>
      <c r="G175" s="154"/>
      <c r="H175" s="154"/>
      <c r="I175" s="190"/>
      <c r="J175" s="190"/>
      <c r="K175" s="190"/>
      <c r="L175" s="190"/>
      <c r="M175" s="190"/>
      <c r="N175" s="190"/>
      <c r="O175" s="190"/>
      <c r="P175" s="154"/>
      <c r="Q175" s="154"/>
      <c r="R175" s="154"/>
      <c r="S175" s="154"/>
      <c r="T175" s="154"/>
      <c r="U175" s="154"/>
      <c r="V175" s="190"/>
      <c r="W175" s="190"/>
      <c r="X175" s="154"/>
      <c r="Y175" s="154"/>
      <c r="Z175" s="154"/>
      <c r="AA175" s="154"/>
      <c r="AB175" s="154"/>
      <c r="AC175" s="154"/>
      <c r="AD175" s="154"/>
      <c r="AE175" s="154"/>
      <c r="AF175" s="154"/>
      <c r="AG175" s="154"/>
      <c r="AH175" s="154"/>
      <c r="AI175" s="154"/>
      <c r="AJ175" s="154"/>
    </row>
    <row r="176" spans="1:36" x14ac:dyDescent="0.25">
      <c r="A176" s="243"/>
      <c r="B176" s="250"/>
      <c r="C176" s="250"/>
      <c r="D176" s="250"/>
      <c r="E176" s="241"/>
      <c r="F176" s="241"/>
      <c r="G176" s="203"/>
      <c r="H176" s="203"/>
      <c r="I176" s="211"/>
      <c r="J176" s="211"/>
      <c r="K176" s="211"/>
      <c r="L176" s="211"/>
      <c r="M176" s="211"/>
      <c r="N176" s="211"/>
      <c r="O176" s="211"/>
      <c r="P176" s="203"/>
    </row>
    <row r="177" spans="1:31" ht="27.75" customHeight="1" x14ac:dyDescent="0.25">
      <c r="A177" s="241"/>
      <c r="B177" s="237"/>
      <c r="C177" s="223"/>
      <c r="D177" s="260"/>
      <c r="E177" s="69"/>
      <c r="F177" s="242"/>
      <c r="G177" s="203"/>
      <c r="H177" s="203"/>
      <c r="I177" s="211"/>
      <c r="J177" s="211"/>
      <c r="K177" s="211"/>
      <c r="L177" s="211"/>
      <c r="M177" s="211"/>
      <c r="N177" s="211"/>
      <c r="O177" s="211"/>
      <c r="P177" s="203"/>
    </row>
    <row r="178" spans="1:31" x14ac:dyDescent="0.25">
      <c r="A178" s="241"/>
      <c r="B178" s="237"/>
      <c r="C178" s="223"/>
      <c r="D178" s="261"/>
      <c r="E178" s="235"/>
      <c r="F178" s="242"/>
      <c r="G178" s="203"/>
      <c r="H178" s="203"/>
      <c r="I178" s="211"/>
      <c r="J178" s="211"/>
      <c r="K178" s="211"/>
      <c r="L178" s="211"/>
      <c r="M178" s="211"/>
      <c r="N178" s="211"/>
      <c r="O178" s="211"/>
      <c r="P178" s="203"/>
    </row>
    <row r="179" spans="1:31" x14ac:dyDescent="0.25">
      <c r="A179" s="203"/>
      <c r="B179" s="203"/>
      <c r="C179" s="211"/>
      <c r="D179" s="211"/>
      <c r="E179" s="203"/>
      <c r="F179" s="203"/>
      <c r="G179" s="203"/>
      <c r="H179" s="203"/>
      <c r="I179" s="211"/>
      <c r="J179" s="211"/>
      <c r="K179" s="211"/>
      <c r="L179" s="211"/>
      <c r="M179" s="211"/>
      <c r="N179" s="211"/>
      <c r="O179" s="211"/>
      <c r="P179" s="203"/>
      <c r="Z179" s="162"/>
    </row>
    <row r="180" spans="1:31" ht="37.5" customHeight="1" x14ac:dyDescent="0.25">
      <c r="A180" s="205"/>
      <c r="G180" s="203"/>
      <c r="H180" s="203"/>
      <c r="I180" s="211"/>
      <c r="J180" s="211"/>
      <c r="K180" s="211"/>
      <c r="L180" s="211"/>
      <c r="M180" s="211"/>
      <c r="N180" s="211"/>
      <c r="O180" s="211"/>
      <c r="P180" s="203"/>
    </row>
    <row r="181" spans="1:31" x14ac:dyDescent="0.25">
      <c r="A181" s="243"/>
      <c r="B181" s="244"/>
      <c r="C181" s="244"/>
      <c r="D181" s="244"/>
      <c r="E181" s="241"/>
      <c r="F181" s="241"/>
      <c r="G181" s="203"/>
      <c r="H181" s="203"/>
      <c r="I181" s="211"/>
      <c r="J181" s="211"/>
      <c r="K181" s="211"/>
      <c r="L181" s="211"/>
      <c r="M181" s="211"/>
      <c r="N181" s="211"/>
      <c r="O181" s="211"/>
      <c r="P181" s="203"/>
    </row>
    <row r="182" spans="1:31" ht="28.5" customHeight="1" x14ac:dyDescent="0.25">
      <c r="A182" s="241"/>
      <c r="B182" s="237"/>
      <c r="C182" s="223"/>
      <c r="D182" s="262"/>
      <c r="E182" s="69"/>
      <c r="F182" s="242"/>
      <c r="G182" s="203"/>
      <c r="H182" s="203"/>
      <c r="I182" s="211"/>
      <c r="J182" s="211"/>
      <c r="K182" s="211"/>
      <c r="L182" s="211"/>
      <c r="M182" s="211"/>
      <c r="N182" s="211"/>
      <c r="O182" s="211"/>
      <c r="P182" s="203"/>
    </row>
    <row r="183" spans="1:31" x14ac:dyDescent="0.25">
      <c r="A183" s="241"/>
      <c r="B183" s="237"/>
      <c r="C183" s="223"/>
      <c r="D183" s="263"/>
      <c r="E183" s="235"/>
      <c r="F183" s="242"/>
      <c r="G183" s="203"/>
      <c r="H183" s="203"/>
      <c r="I183" s="211"/>
      <c r="J183" s="211"/>
      <c r="K183" s="211"/>
      <c r="L183" s="211"/>
      <c r="M183" s="211"/>
      <c r="N183" s="211"/>
      <c r="O183" s="211"/>
      <c r="P183" s="203"/>
    </row>
    <row r="184" spans="1:31" x14ac:dyDescent="0.25">
      <c r="A184" s="203"/>
      <c r="B184" s="203"/>
      <c r="C184" s="211"/>
      <c r="D184" s="211"/>
      <c r="E184" s="203"/>
      <c r="F184" s="203"/>
      <c r="G184" s="203"/>
      <c r="H184" s="203"/>
      <c r="I184" s="211"/>
      <c r="J184" s="211"/>
      <c r="K184" s="211"/>
      <c r="L184" s="211"/>
      <c r="M184" s="211"/>
      <c r="N184" s="211"/>
      <c r="O184" s="211"/>
      <c r="P184" s="203"/>
      <c r="Z184" s="162"/>
    </row>
    <row r="185" spans="1:31" ht="38.25" customHeight="1" x14ac:dyDescent="0.25">
      <c r="A185" s="205"/>
      <c r="G185" s="203"/>
      <c r="H185" s="203"/>
      <c r="I185" s="211"/>
      <c r="J185" s="211"/>
      <c r="K185" s="211"/>
      <c r="L185" s="211"/>
      <c r="M185" s="211"/>
      <c r="N185" s="211"/>
      <c r="O185" s="211"/>
      <c r="P185" s="203"/>
      <c r="T185" s="215"/>
      <c r="U185" s="215"/>
      <c r="V185" s="217"/>
      <c r="W185" s="217"/>
      <c r="X185" s="215"/>
      <c r="Y185" s="215"/>
    </row>
    <row r="186" spans="1:31" x14ac:dyDescent="0.25">
      <c r="A186" s="243"/>
      <c r="B186" s="244"/>
      <c r="C186" s="244"/>
      <c r="D186" s="244"/>
      <c r="E186" s="241"/>
      <c r="F186" s="241"/>
      <c r="G186" s="203"/>
      <c r="H186" s="203"/>
      <c r="I186" s="211"/>
      <c r="J186" s="211"/>
      <c r="K186" s="211"/>
      <c r="L186" s="211"/>
      <c r="M186" s="211"/>
      <c r="N186" s="211"/>
      <c r="O186" s="211"/>
      <c r="P186" s="203"/>
      <c r="T186" s="215"/>
      <c r="U186" s="215"/>
      <c r="V186" s="217"/>
      <c r="W186" s="217"/>
      <c r="X186" s="215"/>
      <c r="Y186" s="215"/>
    </row>
    <row r="187" spans="1:31" ht="25.5" customHeight="1" x14ac:dyDescent="0.25">
      <c r="A187" s="241"/>
      <c r="B187" s="237"/>
      <c r="C187" s="223"/>
      <c r="D187" s="264"/>
      <c r="E187" s="69"/>
      <c r="F187" s="242"/>
      <c r="G187" s="203"/>
      <c r="H187" s="203"/>
      <c r="I187" s="211"/>
      <c r="J187" s="211"/>
      <c r="K187" s="211"/>
      <c r="L187" s="211"/>
      <c r="M187" s="211"/>
      <c r="N187" s="211"/>
      <c r="O187" s="211"/>
      <c r="P187" s="203"/>
      <c r="T187" s="215"/>
      <c r="U187" s="215"/>
      <c r="V187" s="217"/>
      <c r="W187" s="217"/>
      <c r="X187" s="215"/>
      <c r="Y187" s="215"/>
      <c r="AC187" s="75"/>
      <c r="AD187" s="75"/>
      <c r="AE187" s="75"/>
    </row>
    <row r="188" spans="1:31" ht="27.75" customHeight="1" x14ac:dyDescent="0.25">
      <c r="A188" s="241"/>
      <c r="B188" s="237"/>
      <c r="C188" s="223"/>
      <c r="D188" s="265"/>
      <c r="E188" s="235"/>
      <c r="F188" s="242"/>
      <c r="G188" s="203"/>
      <c r="H188" s="203"/>
      <c r="I188" s="211"/>
      <c r="J188" s="211"/>
      <c r="K188" s="211"/>
      <c r="L188" s="211"/>
      <c r="M188" s="211"/>
      <c r="N188" s="211"/>
      <c r="O188" s="211"/>
      <c r="P188" s="203"/>
      <c r="T188" s="215"/>
      <c r="U188" s="215"/>
      <c r="V188" s="217"/>
      <c r="W188" s="217"/>
      <c r="X188" s="215"/>
      <c r="Y188" s="215"/>
    </row>
    <row r="189" spans="1:31" x14ac:dyDescent="0.25">
      <c r="A189" s="203"/>
      <c r="B189" s="203"/>
      <c r="C189" s="211"/>
      <c r="D189" s="211"/>
      <c r="E189" s="203"/>
      <c r="F189" s="203"/>
      <c r="G189" s="203"/>
      <c r="H189" s="203"/>
      <c r="I189" s="211"/>
      <c r="J189" s="211"/>
      <c r="K189" s="211"/>
      <c r="L189" s="211"/>
      <c r="M189" s="211"/>
      <c r="N189" s="211"/>
      <c r="O189" s="211"/>
      <c r="P189" s="203"/>
      <c r="T189" s="80"/>
      <c r="U189" s="529"/>
      <c r="V189" s="530"/>
      <c r="W189" s="527"/>
      <c r="X189" s="528"/>
      <c r="Y189" s="528"/>
      <c r="Z189" s="162"/>
    </row>
    <row r="190" spans="1:31" ht="36.75" customHeight="1" x14ac:dyDescent="0.25">
      <c r="A190" s="243"/>
      <c r="B190" s="254"/>
      <c r="C190" s="255"/>
      <c r="D190" s="256"/>
      <c r="E190" s="257"/>
      <c r="F190" s="257"/>
      <c r="G190" s="268"/>
      <c r="H190" s="203"/>
      <c r="I190" s="211"/>
      <c r="J190" s="211"/>
      <c r="K190" s="211"/>
      <c r="L190" s="211"/>
      <c r="M190" s="211"/>
      <c r="N190" s="211"/>
      <c r="O190" s="211"/>
      <c r="P190" s="203"/>
      <c r="T190" s="143"/>
      <c r="U190" s="103"/>
      <c r="V190" s="103"/>
      <c r="W190" s="103"/>
      <c r="X190" s="219"/>
      <c r="Y190" s="219"/>
    </row>
    <row r="191" spans="1:31" x14ac:dyDescent="0.25">
      <c r="A191" s="243"/>
      <c r="B191" s="244"/>
      <c r="C191" s="244"/>
      <c r="D191" s="244"/>
      <c r="E191" s="241"/>
      <c r="F191" s="241"/>
      <c r="G191" s="203"/>
      <c r="H191" s="203"/>
      <c r="I191" s="211"/>
      <c r="J191" s="211"/>
      <c r="K191" s="211"/>
      <c r="L191" s="211"/>
      <c r="M191" s="211"/>
      <c r="N191" s="211"/>
      <c r="O191" s="211"/>
      <c r="P191" s="203"/>
      <c r="T191" s="220"/>
      <c r="U191" s="165"/>
      <c r="V191" s="200"/>
      <c r="W191" s="164"/>
      <c r="X191" s="9"/>
      <c r="Y191" s="9"/>
    </row>
    <row r="192" spans="1:31" ht="27.75" customHeight="1" x14ac:dyDescent="0.25">
      <c r="A192" s="241"/>
      <c r="B192" s="237"/>
      <c r="C192" s="223"/>
      <c r="D192" s="266"/>
      <c r="E192" s="69"/>
      <c r="F192" s="242"/>
      <c r="G192" s="203"/>
      <c r="H192" s="203"/>
      <c r="I192" s="211"/>
      <c r="J192" s="211"/>
      <c r="K192" s="211"/>
      <c r="L192" s="211"/>
      <c r="M192" s="211"/>
      <c r="N192" s="211"/>
      <c r="O192" s="211"/>
      <c r="P192" s="203"/>
      <c r="T192" s="219"/>
      <c r="U192" s="165"/>
      <c r="V192" s="200"/>
      <c r="W192" s="164"/>
      <c r="X192" s="9"/>
      <c r="Y192" s="9"/>
    </row>
    <row r="193" spans="1:31" x14ac:dyDescent="0.25">
      <c r="A193" s="241"/>
      <c r="B193" s="237"/>
      <c r="C193" s="223"/>
      <c r="D193" s="267"/>
      <c r="E193" s="235"/>
      <c r="F193" s="242"/>
      <c r="G193" s="203"/>
      <c r="H193" s="203"/>
      <c r="I193" s="211"/>
      <c r="J193" s="211"/>
      <c r="K193" s="211"/>
      <c r="L193" s="211"/>
      <c r="M193" s="211"/>
      <c r="N193" s="211"/>
      <c r="O193" s="211"/>
      <c r="P193" s="203"/>
      <c r="T193" s="215"/>
      <c r="U193" s="215"/>
      <c r="V193" s="217"/>
      <c r="W193" s="217"/>
      <c r="X193" s="215"/>
      <c r="Y193" s="215"/>
    </row>
    <row r="194" spans="1:31" x14ac:dyDescent="0.25">
      <c r="A194" s="203"/>
      <c r="B194" s="203"/>
      <c r="C194" s="211"/>
      <c r="D194" s="211"/>
      <c r="E194" s="203"/>
      <c r="F194" s="203"/>
      <c r="G194" s="203"/>
      <c r="H194" s="203"/>
      <c r="I194" s="211"/>
      <c r="J194" s="211"/>
      <c r="K194" s="211"/>
      <c r="L194" s="211"/>
      <c r="M194" s="211"/>
      <c r="N194" s="211"/>
      <c r="O194" s="211"/>
      <c r="P194" s="203"/>
      <c r="T194" s="215"/>
      <c r="U194" s="215"/>
      <c r="V194" s="217"/>
      <c r="W194" s="217"/>
      <c r="X194" s="215"/>
      <c r="Y194" s="215"/>
      <c r="Z194" s="162"/>
    </row>
    <row r="195" spans="1:31" ht="37.5" customHeight="1" x14ac:dyDescent="0.25">
      <c r="A195" s="243"/>
      <c r="B195" s="254"/>
      <c r="C195" s="255"/>
      <c r="D195" s="256"/>
      <c r="E195" s="257"/>
      <c r="F195" s="257"/>
      <c r="G195" s="203"/>
      <c r="H195" s="203"/>
      <c r="I195" s="211"/>
      <c r="J195" s="211"/>
      <c r="K195" s="211"/>
      <c r="L195" s="211"/>
      <c r="M195" s="211"/>
      <c r="N195" s="211"/>
      <c r="O195" s="211"/>
      <c r="P195" s="203"/>
      <c r="T195" s="215"/>
      <c r="U195" s="215"/>
      <c r="V195" s="217"/>
      <c r="W195" s="217"/>
      <c r="X195" s="215"/>
      <c r="Y195" s="215"/>
    </row>
    <row r="196" spans="1:31" x14ac:dyDescent="0.25">
      <c r="A196" s="243"/>
      <c r="B196" s="244"/>
      <c r="C196" s="244"/>
      <c r="D196" s="244"/>
      <c r="E196" s="241"/>
      <c r="F196" s="241"/>
      <c r="G196" s="203"/>
      <c r="H196" s="203"/>
      <c r="I196" s="211"/>
      <c r="J196" s="211"/>
      <c r="K196" s="211"/>
      <c r="L196" s="211"/>
      <c r="M196" s="211"/>
      <c r="N196" s="211"/>
      <c r="O196" s="211"/>
      <c r="P196" s="203"/>
      <c r="T196" s="215"/>
      <c r="U196" s="215"/>
      <c r="V196" s="217"/>
      <c r="W196" s="217"/>
      <c r="X196" s="215"/>
      <c r="Y196" s="215"/>
    </row>
    <row r="197" spans="1:31" ht="24.75" customHeight="1" x14ac:dyDescent="0.25">
      <c r="A197" s="241"/>
      <c r="B197" s="237"/>
      <c r="C197" s="223"/>
      <c r="D197" s="269"/>
      <c r="E197" s="69"/>
      <c r="F197" s="242"/>
      <c r="G197" s="203"/>
      <c r="H197" s="203"/>
      <c r="I197" s="211"/>
      <c r="J197" s="211"/>
      <c r="K197" s="211"/>
      <c r="L197" s="211"/>
      <c r="M197" s="211"/>
      <c r="N197" s="211"/>
      <c r="O197" s="211"/>
      <c r="P197" s="203"/>
    </row>
    <row r="198" spans="1:31" x14ac:dyDescent="0.25">
      <c r="A198" s="241"/>
      <c r="B198" s="237"/>
      <c r="C198" s="223"/>
      <c r="D198" s="270"/>
      <c r="E198" s="235"/>
      <c r="F198" s="242"/>
      <c r="G198" s="203"/>
      <c r="H198" s="203"/>
      <c r="I198" s="211"/>
      <c r="J198" s="211"/>
      <c r="K198" s="211"/>
      <c r="L198" s="211"/>
      <c r="M198" s="211"/>
      <c r="N198" s="211"/>
      <c r="O198" s="211"/>
      <c r="P198" s="203"/>
      <c r="U198" s="75"/>
    </row>
    <row r="199" spans="1:31" x14ac:dyDescent="0.25">
      <c r="A199" s="203"/>
      <c r="B199" s="50"/>
      <c r="C199" s="211"/>
      <c r="D199" s="211"/>
      <c r="E199" s="203"/>
      <c r="F199" s="203"/>
      <c r="G199" s="203"/>
      <c r="H199" s="203"/>
      <c r="I199" s="211"/>
      <c r="J199" s="211"/>
      <c r="K199" s="211"/>
      <c r="L199" s="211"/>
      <c r="M199" s="211"/>
      <c r="N199" s="211"/>
      <c r="O199" s="211"/>
      <c r="P199" s="203"/>
      <c r="Z199" s="162"/>
    </row>
    <row r="200" spans="1:31" ht="36.75" customHeight="1" x14ac:dyDescent="0.25">
      <c r="A200" s="243"/>
      <c r="B200" s="254"/>
      <c r="C200" s="255"/>
      <c r="D200" s="256"/>
      <c r="E200" s="257"/>
      <c r="F200" s="257"/>
      <c r="G200" s="203"/>
      <c r="H200" s="203"/>
      <c r="I200" s="211"/>
      <c r="J200" s="211"/>
      <c r="K200" s="211"/>
      <c r="L200" s="211"/>
      <c r="M200" s="211"/>
      <c r="N200" s="211"/>
      <c r="O200" s="211"/>
      <c r="P200" s="203"/>
    </row>
    <row r="201" spans="1:31" x14ac:dyDescent="0.25">
      <c r="A201" s="243"/>
      <c r="B201" s="244"/>
      <c r="C201" s="244"/>
      <c r="D201" s="244"/>
      <c r="E201" s="241"/>
      <c r="F201" s="241"/>
      <c r="G201" s="203"/>
      <c r="H201" s="203"/>
      <c r="I201" s="211"/>
      <c r="J201" s="211"/>
      <c r="K201" s="211"/>
      <c r="L201" s="211"/>
      <c r="M201" s="211"/>
      <c r="N201" s="211"/>
      <c r="O201" s="211"/>
      <c r="P201" s="203"/>
    </row>
    <row r="202" spans="1:31" ht="24.75" customHeight="1" x14ac:dyDescent="0.25">
      <c r="A202" s="241"/>
      <c r="B202" s="237"/>
      <c r="C202" s="223"/>
      <c r="D202" s="271"/>
      <c r="E202" s="69"/>
      <c r="F202" s="242"/>
      <c r="G202" s="203"/>
      <c r="H202" s="203"/>
      <c r="I202" s="211"/>
      <c r="J202" s="211"/>
      <c r="K202" s="211"/>
      <c r="L202" s="211"/>
      <c r="M202" s="211"/>
      <c r="N202" s="211"/>
      <c r="O202" s="211"/>
      <c r="P202" s="203"/>
    </row>
    <row r="203" spans="1:31" x14ac:dyDescent="0.25">
      <c r="A203" s="241"/>
      <c r="B203" s="237"/>
      <c r="C203" s="223"/>
      <c r="D203" s="272"/>
      <c r="E203" s="235"/>
      <c r="F203" s="242"/>
      <c r="G203" s="203"/>
      <c r="H203" s="203"/>
      <c r="I203" s="211"/>
      <c r="J203" s="211"/>
      <c r="K203" s="211"/>
      <c r="L203" s="211"/>
      <c r="M203" s="211"/>
      <c r="N203" s="211"/>
      <c r="O203" s="211"/>
      <c r="P203" s="203"/>
      <c r="V203" s="279"/>
      <c r="W203" s="526"/>
      <c r="X203" s="527"/>
      <c r="Y203" s="527"/>
      <c r="Z203" s="528"/>
      <c r="AA203" s="528"/>
    </row>
    <row r="204" spans="1:31" x14ac:dyDescent="0.25">
      <c r="A204" s="203"/>
      <c r="B204" s="203"/>
      <c r="C204" s="211"/>
      <c r="D204" s="211"/>
      <c r="E204" s="203"/>
      <c r="F204" s="203"/>
      <c r="G204" s="203"/>
      <c r="H204" s="203"/>
      <c r="I204" s="211"/>
      <c r="J204" s="211"/>
      <c r="K204" s="211"/>
      <c r="L204" s="211"/>
      <c r="M204" s="211"/>
      <c r="N204" s="211"/>
      <c r="O204" s="211"/>
      <c r="P204" s="203"/>
      <c r="V204" s="279"/>
      <c r="W204" s="234"/>
      <c r="X204" s="234"/>
      <c r="Y204" s="234"/>
      <c r="Z204" s="253"/>
      <c r="AA204" s="253"/>
    </row>
    <row r="205" spans="1:31" x14ac:dyDescent="0.25">
      <c r="A205" s="243"/>
      <c r="B205" s="521"/>
      <c r="C205" s="522"/>
      <c r="D205" s="523"/>
      <c r="E205" s="524"/>
      <c r="F205" s="524"/>
      <c r="G205" s="203"/>
      <c r="H205" s="203"/>
      <c r="I205" s="211"/>
      <c r="J205" s="211"/>
      <c r="K205" s="211"/>
      <c r="L205" s="211"/>
      <c r="M205" s="211"/>
      <c r="N205" s="211"/>
      <c r="O205" s="211"/>
      <c r="P205" s="203"/>
      <c r="V205" s="280"/>
      <c r="W205" s="222"/>
      <c r="X205" s="223"/>
      <c r="Y205" s="209"/>
      <c r="Z205" s="218"/>
      <c r="AA205" s="218"/>
    </row>
    <row r="206" spans="1:31" x14ac:dyDescent="0.25">
      <c r="A206" s="243"/>
      <c r="B206" s="244"/>
      <c r="C206" s="244"/>
      <c r="D206" s="244"/>
      <c r="E206" s="241"/>
      <c r="F206" s="241"/>
      <c r="G206" s="203"/>
      <c r="H206" s="203"/>
      <c r="I206" s="211"/>
      <c r="J206" s="211"/>
      <c r="K206" s="211"/>
      <c r="L206" s="211"/>
      <c r="M206" s="211"/>
      <c r="N206" s="211"/>
      <c r="O206" s="211"/>
      <c r="P206" s="203"/>
      <c r="V206" s="227"/>
      <c r="W206" s="222"/>
      <c r="X206" s="223"/>
      <c r="Y206" s="209"/>
      <c r="Z206" s="218"/>
      <c r="AA206" s="218"/>
    </row>
    <row r="207" spans="1:31" ht="26.25" customHeight="1" x14ac:dyDescent="0.25">
      <c r="A207" s="241"/>
      <c r="B207" s="237"/>
      <c r="C207" s="223"/>
      <c r="D207" s="209"/>
      <c r="E207" s="69"/>
      <c r="F207" s="242"/>
      <c r="G207" s="203"/>
      <c r="H207" s="203"/>
      <c r="I207" s="211"/>
      <c r="J207" s="211"/>
      <c r="K207" s="211"/>
      <c r="L207" s="211"/>
      <c r="M207" s="211"/>
      <c r="N207" s="211"/>
      <c r="O207" s="211"/>
      <c r="P207" s="203"/>
      <c r="V207" s="279"/>
      <c r="W207" s="279"/>
      <c r="X207" s="216"/>
      <c r="Y207" s="216"/>
      <c r="Z207" s="216"/>
      <c r="AA207" s="279"/>
      <c r="AC207" s="75"/>
      <c r="AD207" s="75"/>
      <c r="AE207" s="75"/>
    </row>
    <row r="208" spans="1:31" x14ac:dyDescent="0.25">
      <c r="A208" s="241"/>
      <c r="B208" s="237"/>
      <c r="C208" s="223"/>
      <c r="D208" s="209"/>
      <c r="E208" s="235"/>
      <c r="F208" s="242"/>
      <c r="G208" s="203"/>
      <c r="H208" s="211"/>
      <c r="I208" s="211"/>
      <c r="J208" s="211"/>
      <c r="K208" s="211"/>
      <c r="L208" s="211"/>
      <c r="M208" s="211"/>
      <c r="N208" s="211"/>
      <c r="O208" s="211"/>
      <c r="P208" s="211"/>
      <c r="Q208" s="21"/>
      <c r="R208" s="21"/>
      <c r="S208" s="21"/>
      <c r="T208" s="21"/>
      <c r="U208" s="21"/>
    </row>
    <row r="209" spans="1:21" x14ac:dyDescent="0.25">
      <c r="A209" s="203"/>
      <c r="B209" s="203"/>
      <c r="C209" s="203"/>
      <c r="D209" s="203"/>
      <c r="E209" s="203"/>
      <c r="F209" s="203"/>
      <c r="G209" s="203"/>
      <c r="H209" s="211"/>
      <c r="I209" s="211"/>
      <c r="J209" s="211"/>
      <c r="K209" s="211"/>
      <c r="L209" s="211"/>
      <c r="M209" s="211"/>
      <c r="N209" s="211"/>
      <c r="O209" s="211"/>
      <c r="P209" s="211"/>
      <c r="Q209" s="21"/>
      <c r="R209" s="21"/>
      <c r="S209" s="21"/>
      <c r="T209" s="21"/>
      <c r="U209" s="21"/>
    </row>
    <row r="210" spans="1:21" x14ac:dyDescent="0.25">
      <c r="Q210" s="21"/>
      <c r="R210" s="21"/>
      <c r="S210" s="21"/>
      <c r="T210" s="21"/>
      <c r="U210" s="21"/>
    </row>
    <row r="211" spans="1:21" x14ac:dyDescent="0.25">
      <c r="Q211" s="21"/>
      <c r="R211" s="21"/>
      <c r="S211" s="21"/>
      <c r="T211" s="21"/>
      <c r="U211" s="21"/>
    </row>
    <row r="213" spans="1:21" x14ac:dyDescent="0.25">
      <c r="Q213" s="21"/>
      <c r="R213" s="21"/>
      <c r="S213" s="21"/>
      <c r="T213" s="21"/>
      <c r="U213" s="21"/>
    </row>
    <row r="214" spans="1:21" x14ac:dyDescent="0.25">
      <c r="A214" s="203"/>
      <c r="B214" s="203"/>
      <c r="C214" s="203"/>
      <c r="D214" s="203"/>
      <c r="E214" s="203"/>
      <c r="F214" s="203"/>
      <c r="G214" s="203"/>
      <c r="H214" s="211"/>
      <c r="I214" s="211"/>
      <c r="J214" s="211"/>
      <c r="K214" s="211"/>
      <c r="L214" s="211"/>
      <c r="M214" s="211"/>
      <c r="N214" s="211"/>
      <c r="O214" s="211"/>
      <c r="P214" s="211"/>
      <c r="Q214" s="21"/>
      <c r="R214" s="21"/>
      <c r="S214" s="21"/>
      <c r="T214" s="21"/>
      <c r="U214" s="21"/>
    </row>
    <row r="215" spans="1:21" x14ac:dyDescent="0.25">
      <c r="H215" s="21"/>
      <c r="P215" s="21"/>
      <c r="Q215" s="21"/>
      <c r="R215" s="21"/>
      <c r="S215" s="21"/>
      <c r="T215" s="21"/>
      <c r="U215" s="21"/>
    </row>
    <row r="216" spans="1:21" x14ac:dyDescent="0.25">
      <c r="H216" s="21"/>
      <c r="P216" s="21"/>
      <c r="Q216" s="21"/>
      <c r="R216" s="21"/>
      <c r="S216" s="21"/>
      <c r="T216" s="21"/>
      <c r="U216" s="21"/>
    </row>
    <row r="217" spans="1:21" x14ac:dyDescent="0.25">
      <c r="H217" s="21"/>
      <c r="P217" s="21"/>
      <c r="Q217" s="21"/>
      <c r="R217" s="21"/>
      <c r="S217" s="21"/>
      <c r="T217" s="21"/>
      <c r="U217" s="21"/>
    </row>
    <row r="218" spans="1:21" x14ac:dyDescent="0.25">
      <c r="H218" s="21"/>
      <c r="P218" s="21"/>
      <c r="Q218" s="21"/>
      <c r="R218" s="21"/>
      <c r="S218" s="21"/>
      <c r="T218" s="21"/>
      <c r="U218" s="21"/>
    </row>
    <row r="219" spans="1:21" x14ac:dyDescent="0.25">
      <c r="H219" s="21"/>
      <c r="P219" s="21"/>
      <c r="Q219" s="21"/>
      <c r="R219" s="21"/>
      <c r="S219" s="21"/>
      <c r="T219" s="21"/>
      <c r="U219" s="21"/>
    </row>
    <row r="220" spans="1:21" x14ac:dyDescent="0.25">
      <c r="H220" s="21"/>
      <c r="P220" s="21"/>
      <c r="Q220" s="21"/>
      <c r="R220" s="21"/>
      <c r="S220" s="21"/>
      <c r="T220" s="21"/>
      <c r="U220" s="21"/>
    </row>
    <row r="221" spans="1:21" x14ac:dyDescent="0.25">
      <c r="H221" s="21"/>
      <c r="P221" s="21"/>
      <c r="Q221" s="21"/>
      <c r="R221" s="21"/>
      <c r="S221" s="21"/>
      <c r="T221" s="21"/>
      <c r="U221" s="21"/>
    </row>
    <row r="222" spans="1:21" x14ac:dyDescent="0.25">
      <c r="H222" s="21"/>
      <c r="P222" s="21"/>
      <c r="Q222" s="21"/>
      <c r="R222" s="21"/>
      <c r="S222" s="21"/>
      <c r="T222" s="21"/>
      <c r="U222" s="21"/>
    </row>
    <row r="223" spans="1:21" x14ac:dyDescent="0.25">
      <c r="H223" s="21"/>
      <c r="P223" s="21"/>
      <c r="Q223" s="21"/>
      <c r="R223" s="21"/>
      <c r="S223" s="21"/>
      <c r="T223" s="21"/>
      <c r="U223" s="21"/>
    </row>
    <row r="224" spans="1:21" x14ac:dyDescent="0.25">
      <c r="H224" s="21"/>
      <c r="P224" s="21"/>
      <c r="Q224" s="21"/>
      <c r="R224" s="21"/>
      <c r="S224" s="21"/>
      <c r="T224" s="21"/>
      <c r="U224" s="21"/>
    </row>
    <row r="225" spans="8:21" x14ac:dyDescent="0.25">
      <c r="H225" s="21"/>
      <c r="P225" s="21"/>
      <c r="Q225" s="21"/>
      <c r="R225" s="21"/>
      <c r="S225" s="21"/>
      <c r="T225" s="21"/>
      <c r="U225" s="21"/>
    </row>
    <row r="226" spans="8:21" x14ac:dyDescent="0.25">
      <c r="H226" s="21"/>
      <c r="P226" s="21"/>
      <c r="Q226" s="21"/>
      <c r="R226" s="21"/>
      <c r="S226" s="21"/>
      <c r="T226" s="21"/>
      <c r="U226" s="21"/>
    </row>
    <row r="227" spans="8:21" x14ac:dyDescent="0.25">
      <c r="H227" s="21"/>
      <c r="P227" s="21"/>
      <c r="Q227" s="21"/>
      <c r="R227" s="21"/>
      <c r="S227" s="21"/>
      <c r="T227" s="21"/>
      <c r="U227" s="21"/>
    </row>
    <row r="228" spans="8:21" x14ac:dyDescent="0.25">
      <c r="H228" s="21"/>
      <c r="P228" s="21"/>
      <c r="Q228" s="21"/>
      <c r="R228" s="21"/>
      <c r="S228" s="21"/>
      <c r="T228" s="21"/>
      <c r="U228" s="21"/>
    </row>
    <row r="229" spans="8:21" x14ac:dyDescent="0.25">
      <c r="H229" s="21"/>
      <c r="P229" s="21"/>
      <c r="Q229" s="21"/>
      <c r="R229" s="21"/>
      <c r="S229" s="21"/>
      <c r="T229" s="21"/>
      <c r="U229" s="21"/>
    </row>
    <row r="230" spans="8:21" x14ac:dyDescent="0.25">
      <c r="H230" s="21"/>
      <c r="P230" s="21"/>
      <c r="Q230" s="21"/>
      <c r="R230" s="21"/>
      <c r="S230" s="21"/>
      <c r="T230" s="21"/>
      <c r="U230" s="21"/>
    </row>
    <row r="231" spans="8:21" x14ac:dyDescent="0.25">
      <c r="H231" s="21"/>
      <c r="P231" s="21"/>
      <c r="Q231" s="21"/>
      <c r="R231" s="21"/>
      <c r="S231" s="21"/>
      <c r="T231" s="21"/>
      <c r="U231" s="21"/>
    </row>
    <row r="232" spans="8:21" x14ac:dyDescent="0.25">
      <c r="H232" s="21"/>
      <c r="P232" s="21"/>
      <c r="Q232" s="21"/>
      <c r="R232" s="21"/>
      <c r="S232" s="21"/>
      <c r="T232" s="21"/>
      <c r="U232" s="21"/>
    </row>
    <row r="233" spans="8:21" x14ac:dyDescent="0.25">
      <c r="H233" s="21"/>
      <c r="P233" s="21"/>
      <c r="Q233" s="21"/>
      <c r="R233" s="21"/>
      <c r="S233" s="21"/>
      <c r="T233" s="21"/>
      <c r="U233" s="21"/>
    </row>
    <row r="234" spans="8:21" x14ac:dyDescent="0.25">
      <c r="H234" s="21"/>
      <c r="P234" s="21"/>
      <c r="Q234" s="21"/>
      <c r="R234" s="21"/>
      <c r="S234" s="21"/>
      <c r="T234" s="21"/>
      <c r="U234" s="21"/>
    </row>
    <row r="235" spans="8:21" x14ac:dyDescent="0.25">
      <c r="H235" s="21"/>
      <c r="P235" s="21"/>
      <c r="Q235" s="21"/>
      <c r="R235" s="21"/>
      <c r="S235" s="21"/>
      <c r="T235" s="21"/>
      <c r="U235" s="21"/>
    </row>
    <row r="236" spans="8:21" x14ac:dyDescent="0.25">
      <c r="H236" s="21"/>
      <c r="P236" s="21"/>
      <c r="Q236" s="21"/>
      <c r="R236" s="21"/>
      <c r="S236" s="21"/>
      <c r="T236" s="21"/>
      <c r="U236" s="21"/>
    </row>
    <row r="237" spans="8:21" x14ac:dyDescent="0.25">
      <c r="H237" s="21"/>
      <c r="P237" s="21"/>
      <c r="Q237" s="21"/>
      <c r="R237" s="21"/>
      <c r="S237" s="21"/>
      <c r="T237" s="21"/>
      <c r="U237" s="21"/>
    </row>
    <row r="238" spans="8:21" x14ac:dyDescent="0.25">
      <c r="H238" s="21"/>
      <c r="P238" s="21"/>
      <c r="Q238" s="21"/>
      <c r="R238" s="21"/>
      <c r="S238" s="21"/>
      <c r="T238" s="21"/>
      <c r="U238" s="21"/>
    </row>
    <row r="239" spans="8:21" x14ac:dyDescent="0.25">
      <c r="H239" s="21"/>
      <c r="P239" s="21"/>
      <c r="Q239" s="21"/>
      <c r="R239" s="21"/>
      <c r="S239" s="21"/>
      <c r="T239" s="21"/>
      <c r="U239" s="21"/>
    </row>
    <row r="240" spans="8:21" x14ac:dyDescent="0.25">
      <c r="H240" s="21"/>
      <c r="P240" s="21"/>
      <c r="Q240" s="21"/>
      <c r="R240" s="21"/>
      <c r="S240" s="21"/>
      <c r="T240" s="21"/>
      <c r="U240" s="21"/>
    </row>
    <row r="241" spans="8:21" x14ac:dyDescent="0.25">
      <c r="H241" s="21"/>
      <c r="P241" s="21"/>
      <c r="Q241" s="21"/>
      <c r="R241" s="21"/>
      <c r="S241" s="21"/>
      <c r="T241" s="21"/>
      <c r="U241" s="21"/>
    </row>
    <row r="242" spans="8:21" x14ac:dyDescent="0.25">
      <c r="H242" s="21"/>
      <c r="P242" s="21"/>
      <c r="Q242" s="21"/>
      <c r="R242" s="21"/>
      <c r="S242" s="21"/>
      <c r="T242" s="21"/>
      <c r="U242" s="21"/>
    </row>
    <row r="243" spans="8:21" x14ac:dyDescent="0.25">
      <c r="H243" s="21"/>
      <c r="P243" s="21"/>
      <c r="Q243" s="21"/>
      <c r="R243" s="21"/>
      <c r="S243" s="21"/>
      <c r="T243" s="21"/>
      <c r="U243" s="21"/>
    </row>
    <row r="244" spans="8:21" x14ac:dyDescent="0.25">
      <c r="H244" s="21"/>
      <c r="P244" s="21"/>
      <c r="Q244" s="21"/>
      <c r="R244" s="21"/>
      <c r="S244" s="21"/>
      <c r="T244" s="21"/>
      <c r="U244" s="21"/>
    </row>
    <row r="245" spans="8:21" x14ac:dyDescent="0.25">
      <c r="H245" s="21"/>
      <c r="P245" s="21"/>
      <c r="Q245" s="21"/>
      <c r="R245" s="21"/>
      <c r="S245" s="21"/>
      <c r="T245" s="21"/>
      <c r="U245" s="21"/>
    </row>
    <row r="246" spans="8:21" x14ac:dyDescent="0.25">
      <c r="H246" s="21"/>
      <c r="P246" s="21"/>
      <c r="Q246" s="21"/>
      <c r="R246" s="21"/>
      <c r="S246" s="21"/>
      <c r="T246" s="21"/>
      <c r="U246" s="21"/>
    </row>
    <row r="247" spans="8:21" x14ac:dyDescent="0.25">
      <c r="H247" s="21"/>
      <c r="P247" s="21"/>
      <c r="Q247" s="21"/>
      <c r="R247" s="21"/>
      <c r="S247" s="21"/>
      <c r="T247" s="21"/>
      <c r="U247" s="21"/>
    </row>
    <row r="248" spans="8:21" x14ac:dyDescent="0.25">
      <c r="H248" s="21"/>
      <c r="P248" s="21"/>
      <c r="Q248" s="21"/>
      <c r="R248" s="21"/>
      <c r="S248" s="21"/>
      <c r="T248" s="21"/>
      <c r="U248" s="21"/>
    </row>
    <row r="249" spans="8:21" x14ac:dyDescent="0.25">
      <c r="H249" s="21"/>
      <c r="P249" s="21"/>
      <c r="Q249" s="21"/>
      <c r="R249" s="21"/>
      <c r="S249" s="21"/>
      <c r="T249" s="21"/>
      <c r="U249" s="21"/>
    </row>
    <row r="250" spans="8:21" x14ac:dyDescent="0.25">
      <c r="H250" s="21"/>
      <c r="P250" s="21"/>
      <c r="Q250" s="21"/>
      <c r="R250" s="21"/>
      <c r="S250" s="21"/>
      <c r="T250" s="21"/>
      <c r="U250" s="21"/>
    </row>
    <row r="251" spans="8:21" x14ac:dyDescent="0.25">
      <c r="H251" s="21"/>
      <c r="P251" s="21"/>
      <c r="Q251" s="21"/>
      <c r="R251" s="21"/>
      <c r="S251" s="21"/>
      <c r="T251" s="21"/>
      <c r="U251" s="21"/>
    </row>
    <row r="252" spans="8:21" x14ac:dyDescent="0.25">
      <c r="H252" s="21"/>
      <c r="P252" s="21"/>
      <c r="Q252" s="21"/>
      <c r="R252" s="21"/>
      <c r="S252" s="21"/>
      <c r="T252" s="21"/>
      <c r="U252" s="21"/>
    </row>
    <row r="253" spans="8:21" x14ac:dyDescent="0.25">
      <c r="H253" s="21"/>
      <c r="P253" s="21"/>
      <c r="Q253" s="21"/>
      <c r="R253" s="21"/>
      <c r="S253" s="21"/>
      <c r="T253" s="21"/>
      <c r="U253" s="21"/>
    </row>
    <row r="254" spans="8:21" x14ac:dyDescent="0.25">
      <c r="H254" s="21"/>
      <c r="P254" s="21"/>
      <c r="Q254" s="21"/>
      <c r="R254" s="21"/>
      <c r="S254" s="21"/>
      <c r="T254" s="21"/>
      <c r="U254" s="21"/>
    </row>
    <row r="255" spans="8:21" x14ac:dyDescent="0.25">
      <c r="H255" s="21"/>
      <c r="P255" s="21"/>
      <c r="Q255" s="21"/>
      <c r="R255" s="21"/>
      <c r="S255" s="21"/>
      <c r="T255" s="21"/>
      <c r="U255" s="21"/>
    </row>
    <row r="256" spans="8:21" x14ac:dyDescent="0.25">
      <c r="H256" s="21"/>
      <c r="P256" s="21"/>
      <c r="Q256" s="21"/>
      <c r="R256" s="21"/>
      <c r="S256" s="21"/>
      <c r="T256" s="21"/>
      <c r="U256" s="21"/>
    </row>
    <row r="257" spans="8:21" x14ac:dyDescent="0.25">
      <c r="H257" s="21"/>
      <c r="P257" s="21"/>
      <c r="Q257" s="21"/>
      <c r="R257" s="21"/>
      <c r="S257" s="21"/>
      <c r="T257" s="21"/>
      <c r="U257" s="21"/>
    </row>
    <row r="258" spans="8:21" x14ac:dyDescent="0.25">
      <c r="H258" s="21"/>
      <c r="P258" s="21"/>
      <c r="Q258" s="21"/>
      <c r="R258" s="21"/>
      <c r="S258" s="21"/>
      <c r="T258" s="21"/>
      <c r="U258" s="21"/>
    </row>
    <row r="259" spans="8:21" x14ac:dyDescent="0.25">
      <c r="H259" s="21"/>
      <c r="P259" s="21"/>
      <c r="Q259" s="21"/>
      <c r="R259" s="21"/>
      <c r="S259" s="21"/>
      <c r="T259" s="21"/>
      <c r="U259" s="21"/>
    </row>
    <row r="260" spans="8:21" x14ac:dyDescent="0.25">
      <c r="H260" s="21"/>
      <c r="P260" s="21"/>
      <c r="Q260" s="21"/>
      <c r="R260" s="21"/>
      <c r="S260" s="21"/>
      <c r="T260" s="21"/>
      <c r="U260" s="21"/>
    </row>
    <row r="261" spans="8:21" x14ac:dyDescent="0.25">
      <c r="H261" s="21"/>
      <c r="P261" s="21"/>
      <c r="Q261" s="21"/>
      <c r="R261" s="21"/>
      <c r="S261" s="21"/>
      <c r="T261" s="21"/>
      <c r="U261" s="21"/>
    </row>
    <row r="262" spans="8:21" x14ac:dyDescent="0.25">
      <c r="H262" s="21"/>
      <c r="P262" s="21"/>
      <c r="Q262" s="21"/>
      <c r="R262" s="21"/>
      <c r="S262" s="21"/>
      <c r="T262" s="21"/>
      <c r="U262" s="21"/>
    </row>
    <row r="263" spans="8:21" x14ac:dyDescent="0.25">
      <c r="H263" s="21"/>
      <c r="P263" s="21"/>
      <c r="Q263" s="21"/>
      <c r="R263" s="21"/>
      <c r="S263" s="21"/>
      <c r="T263" s="21"/>
      <c r="U263" s="21"/>
    </row>
    <row r="264" spans="8:21" x14ac:dyDescent="0.25">
      <c r="H264" s="21"/>
      <c r="P264" s="21"/>
      <c r="Q264" s="21"/>
      <c r="R264" s="21"/>
      <c r="S264" s="21"/>
      <c r="T264" s="21"/>
      <c r="U264" s="21"/>
    </row>
    <row r="265" spans="8:21" x14ac:dyDescent="0.25">
      <c r="H265" s="21"/>
      <c r="P265" s="21"/>
      <c r="Q265" s="21"/>
      <c r="R265" s="21"/>
      <c r="S265" s="21"/>
      <c r="T265" s="21"/>
      <c r="U265" s="21"/>
    </row>
    <row r="266" spans="8:21" x14ac:dyDescent="0.25">
      <c r="H266" s="21"/>
      <c r="P266" s="21"/>
      <c r="Q266" s="21"/>
      <c r="R266" s="21"/>
      <c r="S266" s="21"/>
      <c r="T266" s="21"/>
      <c r="U266" s="21"/>
    </row>
    <row r="267" spans="8:21" x14ac:dyDescent="0.25">
      <c r="H267" s="21"/>
      <c r="P267" s="21"/>
      <c r="Q267" s="21"/>
      <c r="R267" s="21"/>
      <c r="S267" s="21"/>
      <c r="T267" s="21"/>
      <c r="U267" s="21"/>
    </row>
    <row r="268" spans="8:21" x14ac:dyDescent="0.25">
      <c r="H268" s="21"/>
      <c r="P268" s="21"/>
      <c r="Q268" s="21"/>
      <c r="R268" s="21"/>
      <c r="S268" s="21"/>
      <c r="T268" s="21"/>
      <c r="U268" s="21"/>
    </row>
    <row r="269" spans="8:21" x14ac:dyDescent="0.25">
      <c r="H269" s="21"/>
      <c r="P269" s="21"/>
      <c r="Q269" s="21"/>
      <c r="R269" s="21"/>
      <c r="S269" s="21"/>
      <c r="T269" s="21"/>
      <c r="U269" s="21"/>
    </row>
    <row r="270" spans="8:21" x14ac:dyDescent="0.25">
      <c r="H270" s="21"/>
      <c r="P270" s="21"/>
      <c r="Q270" s="21"/>
      <c r="R270" s="21"/>
      <c r="S270" s="21"/>
      <c r="T270" s="21"/>
      <c r="U270" s="21"/>
    </row>
    <row r="271" spans="8:21" x14ac:dyDescent="0.25">
      <c r="H271" s="21"/>
      <c r="P271" s="21"/>
      <c r="Q271" s="21"/>
      <c r="R271" s="21"/>
      <c r="S271" s="21"/>
      <c r="T271" s="21"/>
      <c r="U271" s="21"/>
    </row>
    <row r="272" spans="8:21" x14ac:dyDescent="0.25">
      <c r="H272" s="21"/>
      <c r="P272" s="21"/>
      <c r="Q272" s="21"/>
      <c r="R272" s="21"/>
      <c r="S272" s="21"/>
      <c r="T272" s="21"/>
      <c r="U272" s="21"/>
    </row>
    <row r="273" spans="8:21" x14ac:dyDescent="0.25">
      <c r="H273" s="21"/>
      <c r="P273" s="21"/>
      <c r="Q273" s="21"/>
      <c r="R273" s="21"/>
      <c r="S273" s="21"/>
      <c r="T273" s="21"/>
      <c r="U273" s="21"/>
    </row>
    <row r="274" spans="8:21" x14ac:dyDescent="0.25">
      <c r="H274" s="21"/>
      <c r="P274" s="21"/>
      <c r="Q274" s="21"/>
      <c r="R274" s="21"/>
      <c r="S274" s="21"/>
      <c r="T274" s="21"/>
      <c r="U274" s="21"/>
    </row>
    <row r="275" spans="8:21" x14ac:dyDescent="0.25">
      <c r="H275" s="21"/>
      <c r="P275" s="21"/>
      <c r="Q275" s="21"/>
      <c r="R275" s="21"/>
      <c r="S275" s="21"/>
      <c r="T275" s="21"/>
      <c r="U275" s="21"/>
    </row>
    <row r="276" spans="8:21" x14ac:dyDescent="0.25">
      <c r="H276" s="21"/>
      <c r="P276" s="21"/>
      <c r="Q276" s="21"/>
      <c r="R276" s="21"/>
      <c r="S276" s="21"/>
      <c r="T276" s="21"/>
      <c r="U276" s="21"/>
    </row>
    <row r="277" spans="8:21" x14ac:dyDescent="0.25">
      <c r="H277" s="21"/>
      <c r="P277" s="21"/>
      <c r="Q277" s="21"/>
      <c r="R277" s="21"/>
      <c r="S277" s="21"/>
      <c r="T277" s="21"/>
      <c r="U277" s="21"/>
    </row>
    <row r="278" spans="8:21" x14ac:dyDescent="0.25">
      <c r="H278" s="21"/>
      <c r="P278" s="21"/>
      <c r="Q278" s="21"/>
      <c r="R278" s="21"/>
      <c r="S278" s="21"/>
      <c r="T278" s="21"/>
      <c r="U278" s="21"/>
    </row>
    <row r="279" spans="8:21" x14ac:dyDescent="0.25">
      <c r="H279" s="21"/>
      <c r="P279" s="21"/>
      <c r="Q279" s="21"/>
      <c r="R279" s="21"/>
      <c r="S279" s="21"/>
      <c r="T279" s="21"/>
      <c r="U279" s="21"/>
    </row>
    <row r="280" spans="8:21" x14ac:dyDescent="0.25">
      <c r="H280" s="21"/>
      <c r="P280" s="21"/>
      <c r="Q280" s="21"/>
      <c r="R280" s="21"/>
      <c r="S280" s="21"/>
      <c r="T280" s="21"/>
      <c r="U280" s="21"/>
    </row>
    <row r="281" spans="8:21" x14ac:dyDescent="0.25">
      <c r="H281" s="21"/>
      <c r="P281" s="21"/>
      <c r="Q281" s="21"/>
      <c r="R281" s="21"/>
      <c r="S281" s="21"/>
      <c r="T281" s="21"/>
      <c r="U281" s="21"/>
    </row>
    <row r="282" spans="8:21" x14ac:dyDescent="0.25">
      <c r="H282" s="21"/>
      <c r="P282" s="21"/>
      <c r="Q282" s="21"/>
      <c r="R282" s="21"/>
      <c r="S282" s="21"/>
      <c r="T282" s="21"/>
      <c r="U282" s="21"/>
    </row>
    <row r="283" spans="8:21" x14ac:dyDescent="0.25">
      <c r="H283" s="21"/>
      <c r="P283" s="21"/>
      <c r="Q283" s="21"/>
      <c r="R283" s="21"/>
      <c r="S283" s="21"/>
      <c r="T283" s="21"/>
      <c r="U283" s="21"/>
    </row>
    <row r="284" spans="8:21" x14ac:dyDescent="0.25">
      <c r="H284" s="21"/>
      <c r="P284" s="21"/>
      <c r="Q284" s="21"/>
      <c r="R284" s="21"/>
      <c r="S284" s="21"/>
      <c r="T284" s="21"/>
      <c r="U284" s="21"/>
    </row>
    <row r="285" spans="8:21" x14ac:dyDescent="0.25">
      <c r="H285" s="21"/>
      <c r="P285" s="21"/>
      <c r="Q285" s="21"/>
      <c r="R285" s="21"/>
      <c r="S285" s="21"/>
      <c r="T285" s="21"/>
      <c r="U285" s="21"/>
    </row>
    <row r="286" spans="8:21" x14ac:dyDescent="0.25">
      <c r="H286" s="21"/>
      <c r="P286" s="21"/>
      <c r="Q286" s="21"/>
      <c r="R286" s="21"/>
      <c r="S286" s="21"/>
      <c r="T286" s="21"/>
      <c r="U286" s="21"/>
    </row>
    <row r="287" spans="8:21" x14ac:dyDescent="0.25">
      <c r="H287" s="21"/>
      <c r="P287" s="21"/>
      <c r="Q287" s="21"/>
      <c r="R287" s="21"/>
      <c r="S287" s="21"/>
      <c r="T287" s="21"/>
      <c r="U287" s="21"/>
    </row>
    <row r="288" spans="8:21" x14ac:dyDescent="0.25">
      <c r="H288" s="21"/>
      <c r="P288" s="21"/>
      <c r="Q288" s="21"/>
      <c r="R288" s="21"/>
      <c r="S288" s="21"/>
      <c r="T288" s="21"/>
      <c r="U288" s="21"/>
    </row>
    <row r="289" spans="8:21" x14ac:dyDescent="0.25">
      <c r="H289" s="21"/>
      <c r="P289" s="21"/>
      <c r="Q289" s="21"/>
      <c r="R289" s="21"/>
      <c r="S289" s="21"/>
      <c r="T289" s="21"/>
      <c r="U289" s="21"/>
    </row>
    <row r="290" spans="8:21" x14ac:dyDescent="0.25">
      <c r="H290" s="21"/>
      <c r="P290" s="21"/>
      <c r="Q290" s="21"/>
      <c r="R290" s="21"/>
      <c r="S290" s="21"/>
      <c r="T290" s="21"/>
      <c r="U290" s="21"/>
    </row>
    <row r="291" spans="8:21" x14ac:dyDescent="0.25">
      <c r="H291" s="21"/>
      <c r="P291" s="21"/>
      <c r="Q291" s="21"/>
      <c r="R291" s="21"/>
      <c r="S291" s="21"/>
      <c r="T291" s="21"/>
      <c r="U291" s="21"/>
    </row>
    <row r="292" spans="8:21" x14ac:dyDescent="0.25">
      <c r="H292" s="21"/>
      <c r="P292" s="21"/>
      <c r="Q292" s="21"/>
      <c r="R292" s="21"/>
      <c r="S292" s="21"/>
      <c r="T292" s="21"/>
      <c r="U292" s="21"/>
    </row>
    <row r="293" spans="8:21" x14ac:dyDescent="0.25">
      <c r="H293" s="21"/>
      <c r="P293" s="21"/>
      <c r="Q293" s="21"/>
      <c r="R293" s="21"/>
      <c r="S293" s="21"/>
      <c r="T293" s="21"/>
      <c r="U293" s="21"/>
    </row>
    <row r="294" spans="8:21" x14ac:dyDescent="0.25">
      <c r="H294" s="21"/>
      <c r="P294" s="21"/>
      <c r="Q294" s="21"/>
      <c r="R294" s="21"/>
      <c r="S294" s="21"/>
      <c r="T294" s="21"/>
      <c r="U294" s="21"/>
    </row>
    <row r="295" spans="8:21" x14ac:dyDescent="0.25">
      <c r="H295" s="21"/>
      <c r="P295" s="21"/>
      <c r="Q295" s="21"/>
      <c r="R295" s="21"/>
      <c r="S295" s="21"/>
      <c r="T295" s="21"/>
      <c r="U295" s="21"/>
    </row>
    <row r="296" spans="8:21" x14ac:dyDescent="0.25">
      <c r="H296" s="21"/>
      <c r="P296" s="21"/>
      <c r="Q296" s="21"/>
      <c r="R296" s="21"/>
      <c r="S296" s="21"/>
      <c r="T296" s="21"/>
      <c r="U296" s="21"/>
    </row>
    <row r="297" spans="8:21" x14ac:dyDescent="0.25">
      <c r="H297" s="21"/>
      <c r="P297" s="21"/>
      <c r="Q297" s="21"/>
      <c r="R297" s="21"/>
      <c r="S297" s="21"/>
      <c r="T297" s="21"/>
      <c r="U297" s="21"/>
    </row>
    <row r="298" spans="8:21" x14ac:dyDescent="0.25">
      <c r="H298" s="21"/>
      <c r="P298" s="21"/>
      <c r="Q298" s="21"/>
      <c r="R298" s="21"/>
      <c r="S298" s="21"/>
      <c r="T298" s="21"/>
      <c r="U298" s="21"/>
    </row>
    <row r="299" spans="8:21" x14ac:dyDescent="0.25">
      <c r="H299" s="21"/>
      <c r="P299" s="21"/>
      <c r="Q299" s="21"/>
      <c r="R299" s="21"/>
      <c r="S299" s="21"/>
      <c r="T299" s="21"/>
      <c r="U299" s="21"/>
    </row>
    <row r="300" spans="8:21" x14ac:dyDescent="0.25">
      <c r="H300" s="21"/>
      <c r="P300" s="21"/>
      <c r="Q300" s="21"/>
      <c r="R300" s="21"/>
      <c r="S300" s="21"/>
      <c r="T300" s="21"/>
      <c r="U300" s="21"/>
    </row>
    <row r="301" spans="8:21" x14ac:dyDescent="0.25">
      <c r="H301" s="21"/>
      <c r="P301" s="21"/>
      <c r="Q301" s="21"/>
      <c r="R301" s="21"/>
      <c r="S301" s="21"/>
      <c r="T301" s="21"/>
      <c r="U301" s="21"/>
    </row>
    <row r="302" spans="8:21" x14ac:dyDescent="0.25">
      <c r="H302" s="21"/>
      <c r="P302" s="21"/>
      <c r="Q302" s="21"/>
      <c r="R302" s="21"/>
      <c r="S302" s="21"/>
      <c r="T302" s="21"/>
      <c r="U302" s="21"/>
    </row>
    <row r="303" spans="8:21" x14ac:dyDescent="0.25">
      <c r="H303" s="21"/>
      <c r="P303" s="21"/>
      <c r="Q303" s="21"/>
      <c r="R303" s="21"/>
      <c r="S303" s="21"/>
      <c r="T303" s="21"/>
      <c r="U303" s="21"/>
    </row>
    <row r="304" spans="8:21" x14ac:dyDescent="0.25">
      <c r="H304" s="21"/>
      <c r="P304" s="21"/>
      <c r="Q304" s="21"/>
      <c r="R304" s="21"/>
      <c r="S304" s="21"/>
      <c r="T304" s="21"/>
      <c r="U304" s="21"/>
    </row>
    <row r="305" spans="8:21" x14ac:dyDescent="0.25">
      <c r="H305" s="21"/>
      <c r="P305" s="21"/>
      <c r="Q305" s="21"/>
      <c r="R305" s="21"/>
      <c r="S305" s="21"/>
      <c r="T305" s="21"/>
      <c r="U305" s="21"/>
    </row>
    <row r="306" spans="8:21" x14ac:dyDescent="0.25">
      <c r="H306" s="21"/>
      <c r="P306" s="21"/>
      <c r="Q306" s="21"/>
      <c r="R306" s="21"/>
      <c r="S306" s="21"/>
      <c r="T306" s="21"/>
      <c r="U306" s="21"/>
    </row>
    <row r="307" spans="8:21" x14ac:dyDescent="0.25">
      <c r="H307" s="21"/>
      <c r="P307" s="21"/>
      <c r="Q307" s="21"/>
      <c r="R307" s="21"/>
      <c r="S307" s="21"/>
      <c r="T307" s="21"/>
      <c r="U307" s="21"/>
    </row>
    <row r="308" spans="8:21" x14ac:dyDescent="0.25">
      <c r="H308" s="21"/>
      <c r="P308" s="21"/>
      <c r="Q308" s="21"/>
      <c r="R308" s="21"/>
      <c r="S308" s="21"/>
      <c r="T308" s="21"/>
      <c r="U308" s="21"/>
    </row>
    <row r="309" spans="8:21" x14ac:dyDescent="0.25">
      <c r="H309" s="21"/>
      <c r="P309" s="21"/>
      <c r="Q309" s="21"/>
      <c r="R309" s="21"/>
      <c r="S309" s="21"/>
      <c r="T309" s="21"/>
      <c r="U309" s="21"/>
    </row>
    <row r="310" spans="8:21" x14ac:dyDescent="0.25">
      <c r="H310" s="21"/>
      <c r="P310" s="21"/>
      <c r="Q310" s="21"/>
      <c r="R310" s="21"/>
      <c r="S310" s="21"/>
      <c r="T310" s="21"/>
      <c r="U310" s="21"/>
    </row>
    <row r="311" spans="8:21" x14ac:dyDescent="0.25">
      <c r="H311" s="21"/>
      <c r="P311" s="21"/>
      <c r="Q311" s="21"/>
      <c r="R311" s="21"/>
      <c r="S311" s="21"/>
      <c r="T311" s="21"/>
      <c r="U311" s="21"/>
    </row>
    <row r="312" spans="8:21" x14ac:dyDescent="0.25">
      <c r="H312" s="21"/>
      <c r="P312" s="21"/>
      <c r="Q312" s="21"/>
      <c r="R312" s="21"/>
      <c r="S312" s="21"/>
      <c r="T312" s="21"/>
      <c r="U312" s="21"/>
    </row>
    <row r="313" spans="8:21" x14ac:dyDescent="0.25">
      <c r="H313" s="21"/>
      <c r="P313" s="21"/>
      <c r="Q313" s="21"/>
      <c r="R313" s="21"/>
      <c r="S313" s="21"/>
      <c r="T313" s="21"/>
      <c r="U313" s="21"/>
    </row>
    <row r="314" spans="8:21" x14ac:dyDescent="0.25">
      <c r="H314" s="21"/>
      <c r="P314" s="21"/>
      <c r="Q314" s="21"/>
      <c r="R314" s="21"/>
      <c r="S314" s="21"/>
      <c r="T314" s="21"/>
      <c r="U314" s="21"/>
    </row>
    <row r="315" spans="8:21" x14ac:dyDescent="0.25">
      <c r="H315" s="21"/>
      <c r="P315" s="21"/>
      <c r="Q315" s="21"/>
      <c r="R315" s="21"/>
      <c r="S315" s="21"/>
      <c r="T315" s="21"/>
      <c r="U315" s="21"/>
    </row>
    <row r="316" spans="8:21" x14ac:dyDescent="0.25">
      <c r="H316" s="21"/>
      <c r="P316" s="21"/>
      <c r="Q316" s="21"/>
      <c r="R316" s="21"/>
      <c r="S316" s="21"/>
      <c r="T316" s="21"/>
      <c r="U316" s="21"/>
    </row>
    <row r="317" spans="8:21" x14ac:dyDescent="0.25">
      <c r="H317" s="21"/>
      <c r="P317" s="21"/>
      <c r="Q317" s="21"/>
      <c r="R317" s="21"/>
      <c r="S317" s="21"/>
      <c r="T317" s="21"/>
      <c r="U317" s="21"/>
    </row>
    <row r="318" spans="8:21" x14ac:dyDescent="0.25">
      <c r="H318" s="21"/>
      <c r="P318" s="21"/>
      <c r="Q318" s="21"/>
      <c r="R318" s="21"/>
      <c r="S318" s="21"/>
      <c r="T318" s="21"/>
      <c r="U318" s="21"/>
    </row>
    <row r="319" spans="8:21" x14ac:dyDescent="0.25">
      <c r="H319" s="21"/>
      <c r="P319" s="21"/>
      <c r="Q319" s="21"/>
      <c r="R319" s="21"/>
      <c r="S319" s="21"/>
      <c r="T319" s="21"/>
      <c r="U319" s="21"/>
    </row>
    <row r="320" spans="8:21" x14ac:dyDescent="0.25">
      <c r="H320" s="21"/>
      <c r="P320" s="21"/>
      <c r="Q320" s="21"/>
      <c r="R320" s="21"/>
      <c r="S320" s="21"/>
      <c r="T320" s="21"/>
      <c r="U320" s="21"/>
    </row>
    <row r="321" spans="8:21" x14ac:dyDescent="0.25">
      <c r="H321" s="21"/>
      <c r="P321" s="21"/>
      <c r="Q321" s="21"/>
      <c r="R321" s="21"/>
      <c r="S321" s="21"/>
      <c r="T321" s="21"/>
      <c r="U321" s="21"/>
    </row>
    <row r="322" spans="8:21" x14ac:dyDescent="0.25">
      <c r="H322" s="21"/>
      <c r="P322" s="21"/>
      <c r="Q322" s="21"/>
      <c r="R322" s="21"/>
      <c r="S322" s="21"/>
      <c r="T322" s="21"/>
      <c r="U322" s="21"/>
    </row>
    <row r="323" spans="8:21" x14ac:dyDescent="0.25">
      <c r="H323" s="21"/>
      <c r="P323" s="21"/>
      <c r="Q323" s="21"/>
      <c r="R323" s="21"/>
      <c r="S323" s="21"/>
      <c r="T323" s="21"/>
      <c r="U323" s="21"/>
    </row>
    <row r="324" spans="8:21" x14ac:dyDescent="0.25">
      <c r="H324" s="21"/>
      <c r="P324" s="21"/>
      <c r="Q324" s="21"/>
      <c r="R324" s="21"/>
      <c r="S324" s="21"/>
      <c r="T324" s="21"/>
      <c r="U324" s="21"/>
    </row>
    <row r="325" spans="8:21" x14ac:dyDescent="0.25">
      <c r="H325" s="21"/>
      <c r="P325" s="21"/>
      <c r="Q325" s="21"/>
      <c r="R325" s="21"/>
      <c r="S325" s="21"/>
      <c r="T325" s="21"/>
      <c r="U325" s="21"/>
    </row>
    <row r="326" spans="8:21" x14ac:dyDescent="0.25">
      <c r="H326" s="21"/>
      <c r="P326" s="21"/>
      <c r="Q326" s="21"/>
      <c r="R326" s="21"/>
      <c r="S326" s="21"/>
      <c r="T326" s="21"/>
      <c r="U326" s="21"/>
    </row>
    <row r="327" spans="8:21" x14ac:dyDescent="0.25">
      <c r="H327" s="21"/>
      <c r="P327" s="21"/>
      <c r="Q327" s="21"/>
      <c r="R327" s="21"/>
      <c r="S327" s="21"/>
      <c r="T327" s="21"/>
      <c r="U327" s="21"/>
    </row>
    <row r="328" spans="8:21" x14ac:dyDescent="0.25">
      <c r="H328" s="21"/>
      <c r="P328" s="21"/>
      <c r="Q328" s="21"/>
      <c r="R328" s="21"/>
      <c r="S328" s="21"/>
      <c r="T328" s="21"/>
      <c r="U328" s="21"/>
    </row>
    <row r="329" spans="8:21" x14ac:dyDescent="0.25">
      <c r="H329" s="21"/>
      <c r="P329" s="21"/>
      <c r="Q329" s="21"/>
      <c r="R329" s="21"/>
      <c r="S329" s="21"/>
      <c r="T329" s="21"/>
      <c r="U329" s="21"/>
    </row>
    <row r="330" spans="8:21" x14ac:dyDescent="0.25">
      <c r="H330" s="21"/>
      <c r="P330" s="21"/>
      <c r="Q330" s="21"/>
      <c r="R330" s="21"/>
      <c r="S330" s="21"/>
      <c r="T330" s="21"/>
      <c r="U330" s="21"/>
    </row>
    <row r="331" spans="8:21" x14ac:dyDescent="0.25">
      <c r="H331" s="21"/>
      <c r="P331" s="21"/>
      <c r="Q331" s="21"/>
      <c r="R331" s="21"/>
      <c r="S331" s="21"/>
      <c r="T331" s="21"/>
      <c r="U331" s="21"/>
    </row>
    <row r="332" spans="8:21" x14ac:dyDescent="0.25">
      <c r="H332" s="21"/>
      <c r="P332" s="21"/>
      <c r="Q332" s="21"/>
      <c r="R332" s="21"/>
      <c r="S332" s="21"/>
      <c r="T332" s="21"/>
      <c r="U332" s="21"/>
    </row>
    <row r="333" spans="8:21" x14ac:dyDescent="0.25">
      <c r="H333" s="21"/>
      <c r="P333" s="21"/>
      <c r="Q333" s="21"/>
      <c r="R333" s="21"/>
      <c r="S333" s="21"/>
      <c r="T333" s="21"/>
      <c r="U333" s="21"/>
    </row>
    <row r="334" spans="8:21" x14ac:dyDescent="0.25">
      <c r="H334" s="21"/>
      <c r="P334" s="21"/>
      <c r="Q334" s="21"/>
      <c r="R334" s="21"/>
      <c r="S334" s="21"/>
      <c r="T334" s="21"/>
      <c r="U334" s="21"/>
    </row>
    <row r="335" spans="8:21" x14ac:dyDescent="0.25">
      <c r="H335" s="21"/>
      <c r="P335" s="21"/>
      <c r="Q335" s="21"/>
      <c r="R335" s="21"/>
      <c r="S335" s="21"/>
      <c r="T335" s="21"/>
      <c r="U335" s="21"/>
    </row>
    <row r="336" spans="8:21" x14ac:dyDescent="0.25">
      <c r="H336" s="21"/>
      <c r="P336" s="21"/>
      <c r="Q336" s="21"/>
      <c r="R336" s="21"/>
      <c r="S336" s="21"/>
      <c r="T336" s="21"/>
      <c r="U336" s="21"/>
    </row>
    <row r="337" spans="8:21" x14ac:dyDescent="0.25">
      <c r="H337" s="21"/>
      <c r="P337" s="21"/>
      <c r="Q337" s="21"/>
      <c r="R337" s="21"/>
      <c r="S337" s="21"/>
      <c r="T337" s="21"/>
      <c r="U337" s="21"/>
    </row>
    <row r="338" spans="8:21" x14ac:dyDescent="0.25">
      <c r="H338" s="21"/>
      <c r="P338" s="21"/>
      <c r="Q338" s="21"/>
      <c r="R338" s="21"/>
      <c r="S338" s="21"/>
      <c r="T338" s="21"/>
      <c r="U338" s="21"/>
    </row>
    <row r="339" spans="8:21" x14ac:dyDescent="0.25">
      <c r="H339" s="21"/>
      <c r="P339" s="21"/>
      <c r="Q339" s="21"/>
      <c r="R339" s="21"/>
      <c r="S339" s="21"/>
      <c r="T339" s="21"/>
      <c r="U339" s="21"/>
    </row>
    <row r="340" spans="8:21" x14ac:dyDescent="0.25">
      <c r="H340" s="21"/>
      <c r="P340" s="21"/>
      <c r="Q340" s="21"/>
      <c r="R340" s="21"/>
      <c r="S340" s="21"/>
      <c r="T340" s="21"/>
      <c r="U340" s="21"/>
    </row>
    <row r="341" spans="8:21" x14ac:dyDescent="0.25">
      <c r="H341" s="21"/>
      <c r="P341" s="21"/>
      <c r="Q341" s="21"/>
      <c r="R341" s="21"/>
      <c r="S341" s="21"/>
      <c r="T341" s="21"/>
      <c r="U341" s="21"/>
    </row>
    <row r="342" spans="8:21" x14ac:dyDescent="0.25">
      <c r="H342" s="21"/>
      <c r="P342" s="21"/>
      <c r="Q342" s="21"/>
      <c r="R342" s="21"/>
      <c r="S342" s="21"/>
      <c r="T342" s="21"/>
      <c r="U342" s="21"/>
    </row>
    <row r="343" spans="8:21" x14ac:dyDescent="0.25">
      <c r="H343" s="21"/>
      <c r="P343" s="21"/>
      <c r="Q343" s="21"/>
      <c r="R343" s="21"/>
      <c r="S343" s="21"/>
      <c r="T343" s="21"/>
      <c r="U343" s="21"/>
    </row>
    <row r="344" spans="8:21" x14ac:dyDescent="0.25">
      <c r="H344" s="21"/>
      <c r="P344" s="21"/>
      <c r="Q344" s="21"/>
      <c r="R344" s="21"/>
      <c r="S344" s="21"/>
      <c r="T344" s="21"/>
      <c r="U344" s="21"/>
    </row>
    <row r="345" spans="8:21" x14ac:dyDescent="0.25">
      <c r="H345" s="21"/>
      <c r="P345" s="21"/>
      <c r="Q345" s="21"/>
      <c r="R345" s="21"/>
      <c r="S345" s="21"/>
      <c r="T345" s="21"/>
      <c r="U345" s="21"/>
    </row>
    <row r="346" spans="8:21" x14ac:dyDescent="0.25">
      <c r="H346" s="21"/>
      <c r="P346" s="21"/>
      <c r="Q346" s="21"/>
      <c r="R346" s="21"/>
      <c r="S346" s="21"/>
      <c r="T346" s="21"/>
      <c r="U346" s="21"/>
    </row>
    <row r="347" spans="8:21" x14ac:dyDescent="0.25">
      <c r="H347" s="21"/>
      <c r="P347" s="21"/>
      <c r="Q347" s="21"/>
      <c r="R347" s="21"/>
      <c r="S347" s="21"/>
      <c r="T347" s="21"/>
      <c r="U347" s="21"/>
    </row>
    <row r="348" spans="8:21" x14ac:dyDescent="0.25">
      <c r="H348" s="21"/>
      <c r="P348" s="21"/>
      <c r="Q348" s="21"/>
      <c r="R348" s="21"/>
      <c r="S348" s="21"/>
      <c r="T348" s="21"/>
      <c r="U348" s="21"/>
    </row>
    <row r="349" spans="8:21" x14ac:dyDescent="0.25">
      <c r="H349" s="21"/>
      <c r="P349" s="21"/>
      <c r="Q349" s="21"/>
      <c r="R349" s="21"/>
      <c r="S349" s="21"/>
      <c r="T349" s="21"/>
      <c r="U349" s="21"/>
    </row>
    <row r="350" spans="8:21" x14ac:dyDescent="0.25">
      <c r="H350" s="21"/>
      <c r="P350" s="21"/>
      <c r="Q350" s="21"/>
      <c r="R350" s="21"/>
      <c r="S350" s="21"/>
      <c r="T350" s="21"/>
      <c r="U350" s="21"/>
    </row>
    <row r="351" spans="8:21" x14ac:dyDescent="0.25">
      <c r="H351" s="21"/>
      <c r="P351" s="21"/>
      <c r="Q351" s="21"/>
      <c r="R351" s="21"/>
      <c r="S351" s="21"/>
      <c r="T351" s="21"/>
      <c r="U351" s="21"/>
    </row>
    <row r="352" spans="8:21" x14ac:dyDescent="0.25">
      <c r="H352" s="21"/>
      <c r="P352" s="21"/>
      <c r="Q352" s="21"/>
      <c r="R352" s="21"/>
      <c r="S352" s="21"/>
      <c r="T352" s="21"/>
      <c r="U352" s="21"/>
    </row>
    <row r="353" spans="8:21" x14ac:dyDescent="0.25">
      <c r="H353" s="21"/>
      <c r="P353" s="21"/>
      <c r="Q353" s="21"/>
      <c r="R353" s="21"/>
      <c r="S353" s="21"/>
      <c r="T353" s="21"/>
      <c r="U353" s="21"/>
    </row>
    <row r="354" spans="8:21" x14ac:dyDescent="0.25">
      <c r="H354" s="21"/>
      <c r="P354" s="21"/>
      <c r="Q354" s="21"/>
      <c r="R354" s="21"/>
      <c r="S354" s="21"/>
      <c r="T354" s="21"/>
      <c r="U354" s="21"/>
    </row>
    <row r="355" spans="8:21" x14ac:dyDescent="0.25">
      <c r="H355" s="21"/>
      <c r="P355" s="21"/>
      <c r="Q355" s="21"/>
      <c r="R355" s="21"/>
      <c r="S355" s="21"/>
      <c r="T355" s="21"/>
      <c r="U355" s="21"/>
    </row>
    <row r="356" spans="8:21" x14ac:dyDescent="0.25">
      <c r="H356" s="21"/>
      <c r="P356" s="21"/>
      <c r="Q356" s="21"/>
      <c r="R356" s="21"/>
      <c r="S356" s="21"/>
      <c r="T356" s="21"/>
      <c r="U356" s="21"/>
    </row>
    <row r="357" spans="8:21" x14ac:dyDescent="0.25">
      <c r="H357" s="21"/>
      <c r="P357" s="21"/>
      <c r="Q357" s="21"/>
      <c r="R357" s="21"/>
      <c r="S357" s="21"/>
      <c r="T357" s="21"/>
      <c r="U357" s="21"/>
    </row>
    <row r="358" spans="8:21" x14ac:dyDescent="0.25">
      <c r="H358" s="21"/>
      <c r="P358" s="21"/>
      <c r="Q358" s="21"/>
      <c r="R358" s="21"/>
      <c r="S358" s="21"/>
      <c r="T358" s="21"/>
      <c r="U358" s="21"/>
    </row>
    <row r="359" spans="8:21" x14ac:dyDescent="0.25">
      <c r="H359" s="21"/>
      <c r="P359" s="21"/>
      <c r="Q359" s="21"/>
      <c r="R359" s="21"/>
      <c r="S359" s="21"/>
      <c r="T359" s="21"/>
      <c r="U359" s="21"/>
    </row>
    <row r="360" spans="8:21" x14ac:dyDescent="0.25">
      <c r="H360" s="21"/>
      <c r="P360" s="21"/>
      <c r="Q360" s="21"/>
      <c r="R360" s="21"/>
      <c r="S360" s="21"/>
      <c r="T360" s="21"/>
      <c r="U360" s="21"/>
    </row>
    <row r="361" spans="8:21" x14ac:dyDescent="0.25">
      <c r="H361" s="21"/>
      <c r="P361" s="21"/>
      <c r="Q361" s="21"/>
      <c r="R361" s="21"/>
      <c r="S361" s="21"/>
      <c r="T361" s="21"/>
      <c r="U361" s="21"/>
    </row>
    <row r="362" spans="8:21" x14ac:dyDescent="0.25">
      <c r="H362" s="21"/>
      <c r="P362" s="21"/>
      <c r="Q362" s="21"/>
      <c r="R362" s="21"/>
      <c r="S362" s="21"/>
      <c r="T362" s="21"/>
      <c r="U362" s="21"/>
    </row>
    <row r="363" spans="8:21" x14ac:dyDescent="0.25">
      <c r="H363" s="21"/>
      <c r="P363" s="21"/>
      <c r="Q363" s="21"/>
      <c r="R363" s="21"/>
      <c r="S363" s="21"/>
      <c r="T363" s="21"/>
      <c r="U363" s="21"/>
    </row>
    <row r="364" spans="8:21" x14ac:dyDescent="0.25">
      <c r="H364" s="21"/>
      <c r="P364" s="21"/>
      <c r="Q364" s="21"/>
      <c r="R364" s="21"/>
      <c r="S364" s="21"/>
      <c r="T364" s="21"/>
      <c r="U364" s="21"/>
    </row>
    <row r="365" spans="8:21" x14ac:dyDescent="0.25">
      <c r="H365" s="21"/>
      <c r="P365" s="21"/>
      <c r="Q365" s="21"/>
      <c r="R365" s="21"/>
      <c r="S365" s="21"/>
      <c r="T365" s="21"/>
      <c r="U365" s="21"/>
    </row>
    <row r="366" spans="8:21" x14ac:dyDescent="0.25">
      <c r="H366" s="21"/>
      <c r="P366" s="21"/>
      <c r="Q366" s="21"/>
      <c r="R366" s="21"/>
      <c r="S366" s="21"/>
      <c r="T366" s="21"/>
      <c r="U366" s="21"/>
    </row>
    <row r="367" spans="8:21" x14ac:dyDescent="0.25">
      <c r="H367" s="21"/>
      <c r="P367" s="21"/>
      <c r="Q367" s="21"/>
      <c r="R367" s="21"/>
      <c r="S367" s="21"/>
      <c r="T367" s="21"/>
      <c r="U367" s="21"/>
    </row>
    <row r="368" spans="8:21" x14ac:dyDescent="0.25">
      <c r="H368" s="21"/>
      <c r="P368" s="21"/>
      <c r="Q368" s="21"/>
      <c r="R368" s="21"/>
      <c r="S368" s="21"/>
      <c r="T368" s="21"/>
      <c r="U368" s="21"/>
    </row>
    <row r="369" spans="8:21" x14ac:dyDescent="0.25">
      <c r="H369" s="21"/>
      <c r="P369" s="21"/>
      <c r="Q369" s="21"/>
      <c r="R369" s="21"/>
      <c r="S369" s="21"/>
      <c r="T369" s="21"/>
      <c r="U369" s="21"/>
    </row>
    <row r="370" spans="8:21" x14ac:dyDescent="0.25">
      <c r="H370" s="21"/>
      <c r="P370" s="21"/>
      <c r="Q370" s="21"/>
      <c r="R370" s="21"/>
      <c r="S370" s="21"/>
      <c r="T370" s="21"/>
      <c r="U370" s="21"/>
    </row>
    <row r="371" spans="8:21" x14ac:dyDescent="0.25">
      <c r="H371" s="21"/>
      <c r="P371" s="21"/>
      <c r="Q371" s="21"/>
      <c r="R371" s="21"/>
      <c r="S371" s="21"/>
      <c r="T371" s="21"/>
      <c r="U371" s="21"/>
    </row>
    <row r="372" spans="8:21" x14ac:dyDescent="0.25">
      <c r="H372" s="21"/>
      <c r="P372" s="21"/>
      <c r="Q372" s="21"/>
      <c r="R372" s="21"/>
      <c r="S372" s="21"/>
      <c r="T372" s="21"/>
      <c r="U372" s="21"/>
    </row>
    <row r="373" spans="8:21" x14ac:dyDescent="0.25">
      <c r="H373" s="21"/>
      <c r="P373" s="21"/>
      <c r="Q373" s="21"/>
      <c r="R373" s="21"/>
      <c r="S373" s="21"/>
      <c r="T373" s="21"/>
      <c r="U373" s="21"/>
    </row>
    <row r="374" spans="8:21" x14ac:dyDescent="0.25">
      <c r="H374" s="21"/>
      <c r="P374" s="21"/>
      <c r="Q374" s="21"/>
      <c r="R374" s="21"/>
      <c r="S374" s="21"/>
      <c r="T374" s="21"/>
      <c r="U374" s="21"/>
    </row>
    <row r="375" spans="8:21" x14ac:dyDescent="0.25">
      <c r="H375" s="21"/>
      <c r="P375" s="21"/>
      <c r="Q375" s="21"/>
      <c r="R375" s="21"/>
      <c r="S375" s="21"/>
      <c r="T375" s="21"/>
      <c r="U375" s="21"/>
    </row>
    <row r="376" spans="8:21" x14ac:dyDescent="0.25">
      <c r="H376" s="21"/>
      <c r="P376" s="21"/>
      <c r="Q376" s="21"/>
      <c r="R376" s="21"/>
      <c r="S376" s="21"/>
      <c r="T376" s="21"/>
      <c r="U376" s="21"/>
    </row>
    <row r="377" spans="8:21" x14ac:dyDescent="0.25">
      <c r="H377" s="21"/>
      <c r="P377" s="21"/>
      <c r="Q377" s="21"/>
      <c r="R377" s="21"/>
      <c r="S377" s="21"/>
      <c r="T377" s="21"/>
      <c r="U377" s="21"/>
    </row>
    <row r="378" spans="8:21" x14ac:dyDescent="0.25">
      <c r="H378" s="21"/>
      <c r="P378" s="21"/>
      <c r="Q378" s="21"/>
      <c r="R378" s="21"/>
      <c r="S378" s="21"/>
      <c r="T378" s="21"/>
      <c r="U378" s="21"/>
    </row>
    <row r="379" spans="8:21" x14ac:dyDescent="0.25">
      <c r="H379" s="21"/>
      <c r="P379" s="21"/>
      <c r="Q379" s="21"/>
      <c r="R379" s="21"/>
      <c r="S379" s="21"/>
      <c r="T379" s="21"/>
      <c r="U379" s="21"/>
    </row>
    <row r="380" spans="8:21" x14ac:dyDescent="0.25">
      <c r="H380" s="21"/>
      <c r="P380" s="21"/>
      <c r="Q380" s="21"/>
      <c r="R380" s="21"/>
      <c r="S380" s="21"/>
      <c r="T380" s="21"/>
      <c r="U380" s="21"/>
    </row>
    <row r="381" spans="8:21" x14ac:dyDescent="0.25">
      <c r="H381" s="21"/>
      <c r="P381" s="21"/>
      <c r="Q381" s="21"/>
      <c r="R381" s="21"/>
      <c r="S381" s="21"/>
      <c r="T381" s="21"/>
      <c r="U381" s="21"/>
    </row>
    <row r="382" spans="8:21" x14ac:dyDescent="0.25">
      <c r="H382" s="21"/>
      <c r="P382" s="21"/>
      <c r="Q382" s="21"/>
      <c r="R382" s="21"/>
      <c r="S382" s="21"/>
      <c r="T382" s="21"/>
      <c r="U382" s="21"/>
    </row>
    <row r="383" spans="8:21" x14ac:dyDescent="0.25">
      <c r="H383" s="21"/>
      <c r="P383" s="21"/>
      <c r="Q383" s="21"/>
      <c r="R383" s="21"/>
      <c r="S383" s="21"/>
      <c r="T383" s="21"/>
      <c r="U383" s="21"/>
    </row>
    <row r="384" spans="8:21" x14ac:dyDescent="0.25">
      <c r="H384" s="21"/>
      <c r="P384" s="21"/>
      <c r="Q384" s="21"/>
      <c r="R384" s="21"/>
      <c r="S384" s="21"/>
      <c r="T384" s="21"/>
      <c r="U384" s="21"/>
    </row>
    <row r="385" spans="8:21" x14ac:dyDescent="0.25">
      <c r="H385" s="21"/>
      <c r="P385" s="21"/>
      <c r="Q385" s="21"/>
      <c r="R385" s="21"/>
      <c r="S385" s="21"/>
      <c r="T385" s="21"/>
      <c r="U385" s="21"/>
    </row>
    <row r="386" spans="8:21" x14ac:dyDescent="0.25">
      <c r="H386" s="21"/>
      <c r="P386" s="21"/>
      <c r="Q386" s="21"/>
      <c r="R386" s="21"/>
      <c r="S386" s="21"/>
      <c r="T386" s="21"/>
      <c r="U386" s="21"/>
    </row>
    <row r="387" spans="8:21" x14ac:dyDescent="0.25">
      <c r="H387" s="21"/>
      <c r="P387" s="21"/>
      <c r="Q387" s="21"/>
      <c r="R387" s="21"/>
      <c r="S387" s="21"/>
      <c r="T387" s="21"/>
      <c r="U387" s="21"/>
    </row>
    <row r="388" spans="8:21" x14ac:dyDescent="0.25">
      <c r="H388" s="21"/>
      <c r="P388" s="21"/>
      <c r="Q388" s="21"/>
      <c r="R388" s="21"/>
      <c r="S388" s="21"/>
      <c r="T388" s="21"/>
      <c r="U388" s="21"/>
    </row>
    <row r="389" spans="8:21" x14ac:dyDescent="0.25">
      <c r="H389" s="21"/>
      <c r="P389" s="21"/>
      <c r="Q389" s="21"/>
      <c r="R389" s="21"/>
      <c r="S389" s="21"/>
      <c r="T389" s="21"/>
      <c r="U389" s="21"/>
    </row>
    <row r="390" spans="8:21" x14ac:dyDescent="0.25">
      <c r="H390" s="21"/>
      <c r="P390" s="21"/>
      <c r="Q390" s="21"/>
      <c r="R390" s="21"/>
      <c r="S390" s="21"/>
      <c r="T390" s="21"/>
      <c r="U390" s="21"/>
    </row>
    <row r="391" spans="8:21" x14ac:dyDescent="0.25">
      <c r="H391" s="21"/>
      <c r="P391" s="21"/>
      <c r="Q391" s="21"/>
      <c r="R391" s="21"/>
      <c r="S391" s="21"/>
      <c r="T391" s="21"/>
      <c r="U391" s="21"/>
    </row>
    <row r="392" spans="8:21" x14ac:dyDescent="0.25">
      <c r="H392" s="21"/>
      <c r="P392" s="21"/>
      <c r="Q392" s="21"/>
      <c r="R392" s="21"/>
      <c r="S392" s="21"/>
      <c r="T392" s="21"/>
      <c r="U392" s="21"/>
    </row>
    <row r="393" spans="8:21" x14ac:dyDescent="0.25">
      <c r="H393" s="21"/>
      <c r="P393" s="21"/>
      <c r="Q393" s="21"/>
      <c r="R393" s="21"/>
      <c r="S393" s="21"/>
      <c r="T393" s="21"/>
      <c r="U393" s="21"/>
    </row>
    <row r="394" spans="8:21" x14ac:dyDescent="0.25">
      <c r="H394" s="21"/>
      <c r="P394" s="21"/>
      <c r="Q394" s="21"/>
      <c r="R394" s="21"/>
      <c r="S394" s="21"/>
      <c r="T394" s="21"/>
      <c r="U394" s="21"/>
    </row>
    <row r="395" spans="8:21" x14ac:dyDescent="0.25">
      <c r="H395" s="21"/>
      <c r="P395" s="21"/>
      <c r="Q395" s="21"/>
      <c r="R395" s="21"/>
      <c r="S395" s="21"/>
      <c r="T395" s="21"/>
      <c r="U395" s="21"/>
    </row>
    <row r="396" spans="8:21" x14ac:dyDescent="0.25">
      <c r="H396" s="21"/>
      <c r="P396" s="21"/>
      <c r="Q396" s="21"/>
      <c r="R396" s="21"/>
      <c r="S396" s="21"/>
      <c r="T396" s="21"/>
      <c r="U396" s="21"/>
    </row>
    <row r="397" spans="8:21" x14ac:dyDescent="0.25">
      <c r="H397" s="21"/>
      <c r="P397" s="21"/>
      <c r="Q397" s="21"/>
      <c r="R397" s="21"/>
      <c r="S397" s="21"/>
      <c r="T397" s="21"/>
      <c r="U397" s="21"/>
    </row>
    <row r="398" spans="8:21" x14ac:dyDescent="0.25">
      <c r="H398" s="21"/>
      <c r="P398" s="21"/>
      <c r="Q398" s="21"/>
      <c r="R398" s="21"/>
      <c r="S398" s="21"/>
      <c r="T398" s="21"/>
      <c r="U398" s="21"/>
    </row>
    <row r="399" spans="8:21" x14ac:dyDescent="0.25">
      <c r="H399" s="21"/>
      <c r="P399" s="21"/>
      <c r="Q399" s="21"/>
      <c r="R399" s="21"/>
      <c r="S399" s="21"/>
      <c r="T399" s="21"/>
      <c r="U399" s="21"/>
    </row>
    <row r="400" spans="8:21" x14ac:dyDescent="0.25">
      <c r="H400" s="21"/>
      <c r="P400" s="21"/>
      <c r="Q400" s="21"/>
      <c r="R400" s="21"/>
      <c r="S400" s="21"/>
      <c r="T400" s="21"/>
      <c r="U400" s="21"/>
    </row>
    <row r="401" spans="8:21" x14ac:dyDescent="0.25">
      <c r="H401" s="21"/>
      <c r="P401" s="21"/>
      <c r="Q401" s="21"/>
      <c r="R401" s="21"/>
      <c r="S401" s="21"/>
      <c r="T401" s="21"/>
      <c r="U401" s="21"/>
    </row>
    <row r="402" spans="8:21" x14ac:dyDescent="0.25">
      <c r="H402" s="21"/>
      <c r="P402" s="21"/>
      <c r="Q402" s="21"/>
      <c r="R402" s="21"/>
      <c r="S402" s="21"/>
      <c r="T402" s="21"/>
      <c r="U402" s="21"/>
    </row>
    <row r="403" spans="8:21" x14ac:dyDescent="0.25">
      <c r="H403" s="21"/>
      <c r="P403" s="21"/>
      <c r="Q403" s="21"/>
      <c r="R403" s="21"/>
      <c r="S403" s="21"/>
      <c r="T403" s="21"/>
      <c r="U403" s="21"/>
    </row>
    <row r="404" spans="8:21" x14ac:dyDescent="0.25">
      <c r="H404" s="21"/>
      <c r="P404" s="21"/>
      <c r="Q404" s="21"/>
      <c r="R404" s="21"/>
      <c r="S404" s="21"/>
      <c r="T404" s="21"/>
      <c r="U404" s="21"/>
    </row>
    <row r="405" spans="8:21" x14ac:dyDescent="0.25">
      <c r="H405" s="21"/>
      <c r="P405" s="21"/>
      <c r="Q405" s="21"/>
      <c r="R405" s="21"/>
      <c r="S405" s="21"/>
      <c r="T405" s="21"/>
      <c r="U405" s="21"/>
    </row>
    <row r="406" spans="8:21" x14ac:dyDescent="0.25">
      <c r="H406" s="21"/>
      <c r="P406" s="21"/>
      <c r="Q406" s="21"/>
      <c r="R406" s="21"/>
      <c r="S406" s="21"/>
      <c r="T406" s="21"/>
      <c r="U406" s="21"/>
    </row>
    <row r="407" spans="8:21" x14ac:dyDescent="0.25">
      <c r="H407" s="21"/>
      <c r="P407" s="21"/>
      <c r="Q407" s="21"/>
      <c r="R407" s="21"/>
      <c r="S407" s="21"/>
      <c r="T407" s="21"/>
      <c r="U407" s="21"/>
    </row>
    <row r="408" spans="8:21" x14ac:dyDescent="0.25">
      <c r="H408" s="21"/>
      <c r="P408" s="21"/>
      <c r="Q408" s="21"/>
      <c r="R408" s="21"/>
      <c r="S408" s="21"/>
      <c r="T408" s="21"/>
      <c r="U408" s="21"/>
    </row>
    <row r="409" spans="8:21" x14ac:dyDescent="0.25">
      <c r="H409" s="21"/>
      <c r="P409" s="21"/>
      <c r="Q409" s="21"/>
      <c r="R409" s="21"/>
      <c r="S409" s="21"/>
      <c r="T409" s="21"/>
      <c r="U409" s="21"/>
    </row>
    <row r="410" spans="8:21" x14ac:dyDescent="0.25">
      <c r="H410" s="21"/>
      <c r="P410" s="21"/>
      <c r="Q410" s="21"/>
      <c r="R410" s="21"/>
      <c r="S410" s="21"/>
      <c r="T410" s="21"/>
      <c r="U410" s="21"/>
    </row>
    <row r="411" spans="8:21" x14ac:dyDescent="0.25">
      <c r="H411" s="21"/>
      <c r="P411" s="21"/>
      <c r="Q411" s="21"/>
      <c r="R411" s="21"/>
      <c r="S411" s="21"/>
      <c r="T411" s="21"/>
      <c r="U411" s="21"/>
    </row>
    <row r="412" spans="8:21" x14ac:dyDescent="0.25">
      <c r="H412" s="21"/>
      <c r="P412" s="21"/>
      <c r="Q412" s="21"/>
      <c r="R412" s="21"/>
      <c r="S412" s="21"/>
      <c r="T412" s="21"/>
      <c r="U412" s="21"/>
    </row>
    <row r="413" spans="8:21" x14ac:dyDescent="0.25">
      <c r="H413" s="21"/>
      <c r="P413" s="21"/>
      <c r="Q413" s="21"/>
      <c r="R413" s="21"/>
      <c r="S413" s="21"/>
      <c r="T413" s="21"/>
      <c r="U413" s="21"/>
    </row>
    <row r="414" spans="8:21" x14ac:dyDescent="0.25">
      <c r="H414" s="21"/>
      <c r="P414" s="21"/>
      <c r="Q414" s="21"/>
      <c r="R414" s="21"/>
      <c r="S414" s="21"/>
      <c r="T414" s="21"/>
      <c r="U414" s="21"/>
    </row>
    <row r="415" spans="8:21" x14ac:dyDescent="0.25">
      <c r="H415" s="21"/>
      <c r="P415" s="21"/>
      <c r="Q415" s="21"/>
      <c r="R415" s="21"/>
      <c r="S415" s="21"/>
      <c r="T415" s="21"/>
      <c r="U415" s="21"/>
    </row>
    <row r="416" spans="8:21" x14ac:dyDescent="0.25">
      <c r="H416" s="21"/>
      <c r="P416" s="21"/>
      <c r="Q416" s="21"/>
      <c r="R416" s="21"/>
      <c r="S416" s="21"/>
      <c r="T416" s="21"/>
      <c r="U416" s="21"/>
    </row>
    <row r="417" spans="8:21" x14ac:dyDescent="0.25">
      <c r="H417" s="21"/>
      <c r="P417" s="21"/>
      <c r="Q417" s="21"/>
      <c r="R417" s="21"/>
      <c r="S417" s="21"/>
      <c r="T417" s="21"/>
      <c r="U417" s="21"/>
    </row>
    <row r="418" spans="8:21" x14ac:dyDescent="0.25">
      <c r="H418" s="21"/>
      <c r="P418" s="21"/>
      <c r="Q418" s="21"/>
      <c r="R418" s="21"/>
      <c r="S418" s="21"/>
      <c r="T418" s="21"/>
      <c r="U418" s="21"/>
    </row>
    <row r="419" spans="8:21" x14ac:dyDescent="0.25">
      <c r="H419" s="21"/>
      <c r="P419" s="21"/>
      <c r="Q419" s="21"/>
      <c r="R419" s="21"/>
      <c r="S419" s="21"/>
      <c r="T419" s="21"/>
      <c r="U419" s="21"/>
    </row>
    <row r="420" spans="8:21" x14ac:dyDescent="0.25">
      <c r="H420" s="21"/>
      <c r="P420" s="21"/>
      <c r="Q420" s="21"/>
      <c r="R420" s="21"/>
      <c r="S420" s="21"/>
      <c r="T420" s="21"/>
      <c r="U420" s="21"/>
    </row>
    <row r="421" spans="8:21" x14ac:dyDescent="0.25">
      <c r="H421" s="21"/>
      <c r="P421" s="21"/>
      <c r="Q421" s="21"/>
      <c r="R421" s="21"/>
      <c r="S421" s="21"/>
      <c r="T421" s="21"/>
      <c r="U421" s="21"/>
    </row>
    <row r="422" spans="8:21" x14ac:dyDescent="0.25">
      <c r="H422" s="21"/>
      <c r="P422" s="21"/>
      <c r="Q422" s="21"/>
      <c r="R422" s="21"/>
      <c r="S422" s="21"/>
      <c r="T422" s="21"/>
      <c r="U422" s="21"/>
    </row>
    <row r="423" spans="8:21" x14ac:dyDescent="0.25">
      <c r="H423" s="21"/>
      <c r="P423" s="21"/>
      <c r="Q423" s="21"/>
      <c r="R423" s="21"/>
      <c r="S423" s="21"/>
      <c r="T423" s="21"/>
      <c r="U423" s="21"/>
    </row>
    <row r="424" spans="8:21" x14ac:dyDescent="0.25">
      <c r="H424" s="21"/>
      <c r="P424" s="21"/>
      <c r="Q424" s="21"/>
      <c r="R424" s="21"/>
      <c r="S424" s="21"/>
      <c r="T424" s="21"/>
      <c r="U424" s="21"/>
    </row>
    <row r="425" spans="8:21" x14ac:dyDescent="0.25">
      <c r="H425" s="21"/>
      <c r="P425" s="21"/>
      <c r="Q425" s="21"/>
      <c r="R425" s="21"/>
      <c r="S425" s="21"/>
      <c r="T425" s="21"/>
      <c r="U425" s="21"/>
    </row>
    <row r="426" spans="8:21" x14ac:dyDescent="0.25">
      <c r="H426" s="21"/>
      <c r="P426" s="21"/>
      <c r="Q426" s="21"/>
      <c r="R426" s="21"/>
      <c r="S426" s="21"/>
      <c r="T426" s="21"/>
      <c r="U426" s="21"/>
    </row>
    <row r="427" spans="8:21" x14ac:dyDescent="0.25">
      <c r="H427" s="21"/>
      <c r="P427" s="21"/>
      <c r="Q427" s="21"/>
      <c r="R427" s="21"/>
      <c r="S427" s="21"/>
      <c r="T427" s="21"/>
      <c r="U427" s="21"/>
    </row>
    <row r="428" spans="8:21" x14ac:dyDescent="0.25">
      <c r="H428" s="21"/>
      <c r="P428" s="21"/>
      <c r="Q428" s="21"/>
      <c r="R428" s="21"/>
      <c r="S428" s="21"/>
      <c r="T428" s="21"/>
      <c r="U428" s="21"/>
    </row>
    <row r="429" spans="8:21" x14ac:dyDescent="0.25">
      <c r="H429" s="21"/>
      <c r="P429" s="21"/>
      <c r="Q429" s="21"/>
      <c r="R429" s="21"/>
      <c r="S429" s="21"/>
      <c r="T429" s="21"/>
      <c r="U429" s="21"/>
    </row>
    <row r="430" spans="8:21" x14ac:dyDescent="0.25">
      <c r="H430" s="21"/>
      <c r="P430" s="21"/>
      <c r="Q430" s="21"/>
      <c r="R430" s="21"/>
      <c r="S430" s="21"/>
      <c r="T430" s="21"/>
      <c r="U430" s="21"/>
    </row>
    <row r="431" spans="8:21" x14ac:dyDescent="0.25">
      <c r="H431" s="21"/>
      <c r="P431" s="21"/>
      <c r="Q431" s="21"/>
      <c r="R431" s="21"/>
      <c r="S431" s="21"/>
      <c r="T431" s="21"/>
      <c r="U431" s="21"/>
    </row>
    <row r="432" spans="8:21" x14ac:dyDescent="0.25">
      <c r="H432" s="21"/>
      <c r="P432" s="21"/>
      <c r="Q432" s="21"/>
      <c r="R432" s="21"/>
      <c r="S432" s="21"/>
      <c r="T432" s="21"/>
      <c r="U432" s="21"/>
    </row>
    <row r="433" spans="8:21" x14ac:dyDescent="0.25">
      <c r="H433" s="21"/>
      <c r="P433" s="21"/>
      <c r="Q433" s="21"/>
      <c r="R433" s="21"/>
      <c r="S433" s="21"/>
      <c r="T433" s="21"/>
      <c r="U433" s="21"/>
    </row>
    <row r="434" spans="8:21" x14ac:dyDescent="0.25">
      <c r="H434" s="21"/>
      <c r="P434" s="21"/>
      <c r="Q434" s="21"/>
      <c r="R434" s="21"/>
      <c r="S434" s="21"/>
      <c r="T434" s="21"/>
      <c r="U434" s="21"/>
    </row>
    <row r="435" spans="8:21" x14ac:dyDescent="0.25">
      <c r="H435" s="21"/>
      <c r="P435" s="21"/>
      <c r="Q435" s="21"/>
      <c r="R435" s="21"/>
      <c r="S435" s="21"/>
      <c r="T435" s="21"/>
      <c r="U435" s="21"/>
    </row>
    <row r="436" spans="8:21" x14ac:dyDescent="0.25">
      <c r="H436" s="21"/>
      <c r="P436" s="21"/>
      <c r="Q436" s="21"/>
      <c r="R436" s="21"/>
      <c r="S436" s="21"/>
      <c r="T436" s="21"/>
      <c r="U436" s="21"/>
    </row>
    <row r="437" spans="8:21" x14ac:dyDescent="0.25">
      <c r="H437" s="21"/>
      <c r="P437" s="21"/>
      <c r="Q437" s="21"/>
      <c r="R437" s="21"/>
      <c r="S437" s="21"/>
      <c r="T437" s="21"/>
      <c r="U437" s="21"/>
    </row>
    <row r="438" spans="8:21" x14ac:dyDescent="0.25">
      <c r="H438" s="21"/>
      <c r="P438" s="21"/>
      <c r="Q438" s="21"/>
      <c r="R438" s="21"/>
      <c r="S438" s="21"/>
      <c r="T438" s="21"/>
      <c r="U438" s="21"/>
    </row>
    <row r="439" spans="8:21" x14ac:dyDescent="0.25">
      <c r="H439" s="21"/>
      <c r="P439" s="21"/>
      <c r="Q439" s="21"/>
      <c r="R439" s="21"/>
      <c r="S439" s="21"/>
      <c r="T439" s="21"/>
      <c r="U439" s="21"/>
    </row>
    <row r="440" spans="8:21" x14ac:dyDescent="0.25">
      <c r="H440" s="21"/>
      <c r="P440" s="21"/>
      <c r="Q440" s="21"/>
      <c r="R440" s="21"/>
      <c r="S440" s="21"/>
      <c r="T440" s="21"/>
      <c r="U440" s="21"/>
    </row>
    <row r="441" spans="8:21" x14ac:dyDescent="0.25">
      <c r="H441" s="21"/>
      <c r="P441" s="21"/>
      <c r="Q441" s="21"/>
      <c r="R441" s="21"/>
      <c r="S441" s="21"/>
      <c r="T441" s="21"/>
      <c r="U441" s="21"/>
    </row>
    <row r="442" spans="8:21" x14ac:dyDescent="0.25">
      <c r="H442" s="21"/>
      <c r="P442" s="21"/>
      <c r="Q442" s="21"/>
      <c r="R442" s="21"/>
      <c r="S442" s="21"/>
      <c r="T442" s="21"/>
      <c r="U442" s="21"/>
    </row>
    <row r="443" spans="8:21" x14ac:dyDescent="0.25">
      <c r="H443" s="21"/>
      <c r="P443" s="21"/>
      <c r="Q443" s="21"/>
      <c r="R443" s="21"/>
      <c r="S443" s="21"/>
      <c r="T443" s="21"/>
      <c r="U443" s="21"/>
    </row>
    <row r="444" spans="8:21" x14ac:dyDescent="0.25">
      <c r="H444" s="21"/>
      <c r="P444" s="21"/>
      <c r="Q444" s="21"/>
      <c r="R444" s="21"/>
      <c r="S444" s="21"/>
      <c r="T444" s="21"/>
      <c r="U444" s="21"/>
    </row>
    <row r="445" spans="8:21" x14ac:dyDescent="0.25">
      <c r="H445" s="21"/>
      <c r="P445" s="21"/>
      <c r="Q445" s="21"/>
      <c r="R445" s="21"/>
      <c r="S445" s="21"/>
      <c r="T445" s="21"/>
      <c r="U445" s="21"/>
    </row>
    <row r="446" spans="8:21" x14ac:dyDescent="0.25">
      <c r="H446" s="21"/>
      <c r="P446" s="21"/>
      <c r="Q446" s="21"/>
      <c r="R446" s="21"/>
      <c r="S446" s="21"/>
      <c r="T446" s="21"/>
      <c r="U446" s="21"/>
    </row>
    <row r="447" spans="8:21" x14ac:dyDescent="0.25">
      <c r="H447" s="21"/>
      <c r="P447" s="21"/>
      <c r="Q447" s="21"/>
      <c r="R447" s="21"/>
      <c r="S447" s="21"/>
      <c r="T447" s="21"/>
      <c r="U447" s="21"/>
    </row>
    <row r="448" spans="8:21" x14ac:dyDescent="0.25">
      <c r="H448" s="21"/>
      <c r="P448" s="21"/>
      <c r="Q448" s="21"/>
      <c r="R448" s="21"/>
      <c r="S448" s="21"/>
      <c r="T448" s="21"/>
      <c r="U448" s="21"/>
    </row>
    <row r="449" spans="8:21" x14ac:dyDescent="0.25">
      <c r="H449" s="21"/>
      <c r="P449" s="21"/>
      <c r="Q449" s="21"/>
      <c r="R449" s="21"/>
      <c r="S449" s="21"/>
      <c r="T449" s="21"/>
      <c r="U449" s="21"/>
    </row>
    <row r="450" spans="8:21" x14ac:dyDescent="0.25">
      <c r="H450" s="21"/>
      <c r="P450" s="21"/>
      <c r="Q450" s="21"/>
      <c r="R450" s="21"/>
      <c r="S450" s="21"/>
      <c r="T450" s="21"/>
      <c r="U450" s="21"/>
    </row>
    <row r="451" spans="8:21" x14ac:dyDescent="0.25">
      <c r="H451" s="21"/>
      <c r="P451" s="21"/>
      <c r="Q451" s="21"/>
      <c r="R451" s="21"/>
      <c r="S451" s="21"/>
      <c r="T451" s="21"/>
      <c r="U451" s="21"/>
    </row>
    <row r="452" spans="8:21" x14ac:dyDescent="0.25">
      <c r="H452" s="21"/>
      <c r="P452" s="21"/>
      <c r="Q452" s="21"/>
      <c r="R452" s="21"/>
      <c r="S452" s="21"/>
      <c r="T452" s="21"/>
      <c r="U452" s="21"/>
    </row>
    <row r="453" spans="8:21" x14ac:dyDescent="0.25">
      <c r="H453" s="21"/>
      <c r="P453" s="21"/>
      <c r="Q453" s="21"/>
      <c r="R453" s="21"/>
      <c r="S453" s="21"/>
      <c r="T453" s="21"/>
      <c r="U453" s="21"/>
    </row>
    <row r="454" spans="8:21" x14ac:dyDescent="0.25">
      <c r="H454" s="21"/>
      <c r="P454" s="21"/>
      <c r="Q454" s="21"/>
      <c r="R454" s="21"/>
      <c r="S454" s="21"/>
      <c r="T454" s="21"/>
      <c r="U454" s="21"/>
    </row>
    <row r="455" spans="8:21" x14ac:dyDescent="0.25">
      <c r="H455" s="21"/>
      <c r="P455" s="21"/>
      <c r="Q455" s="21"/>
      <c r="R455" s="21"/>
      <c r="S455" s="21"/>
      <c r="T455" s="21"/>
      <c r="U455" s="21"/>
    </row>
    <row r="456" spans="8:21" x14ac:dyDescent="0.25">
      <c r="H456" s="21"/>
      <c r="P456" s="21"/>
      <c r="Q456" s="21"/>
      <c r="R456" s="21"/>
      <c r="S456" s="21"/>
      <c r="T456" s="21"/>
      <c r="U456" s="21"/>
    </row>
    <row r="457" spans="8:21" x14ac:dyDescent="0.25">
      <c r="H457" s="21"/>
      <c r="P457" s="21"/>
      <c r="Q457" s="21"/>
      <c r="R457" s="21"/>
      <c r="S457" s="21"/>
      <c r="T457" s="21"/>
      <c r="U457" s="21"/>
    </row>
  </sheetData>
  <mergeCells count="108">
    <mergeCell ref="A97:C98"/>
    <mergeCell ref="D97:E98"/>
    <mergeCell ref="F97:G98"/>
    <mergeCell ref="H97:H98"/>
    <mergeCell ref="A82:C83"/>
    <mergeCell ref="D82:E83"/>
    <mergeCell ref="F82:G83"/>
    <mergeCell ref="H82:H83"/>
    <mergeCell ref="A72:H72"/>
    <mergeCell ref="A74:C75"/>
    <mergeCell ref="D74:E75"/>
    <mergeCell ref="F74:G75"/>
    <mergeCell ref="H74:H75"/>
    <mergeCell ref="AL32:AP32"/>
    <mergeCell ref="AC41:AG41"/>
    <mergeCell ref="U57:Y57"/>
    <mergeCell ref="AC45:AG45"/>
    <mergeCell ref="U16:Y16"/>
    <mergeCell ref="AC13:AG13"/>
    <mergeCell ref="B169:F169"/>
    <mergeCell ref="A106:H106"/>
    <mergeCell ref="A107:C107"/>
    <mergeCell ref="D107:E107"/>
    <mergeCell ref="F107:G107"/>
    <mergeCell ref="A13:C14"/>
    <mergeCell ref="D13:E14"/>
    <mergeCell ref="F13:G14"/>
    <mergeCell ref="H13:H14"/>
    <mergeCell ref="AC18:AG18"/>
    <mergeCell ref="A28:C29"/>
    <mergeCell ref="D28:E29"/>
    <mergeCell ref="F28:G29"/>
    <mergeCell ref="H28:H29"/>
    <mergeCell ref="A34:H34"/>
    <mergeCell ref="A43:C44"/>
    <mergeCell ref="D43:E44"/>
    <mergeCell ref="F43:G44"/>
    <mergeCell ref="B205:F205"/>
    <mergeCell ref="AC170:AG170"/>
    <mergeCell ref="U62:Y62"/>
    <mergeCell ref="AC44:AG44"/>
    <mergeCell ref="AC8:AG8"/>
    <mergeCell ref="U28:Y28"/>
    <mergeCell ref="AC27:AG27"/>
    <mergeCell ref="W203:AA203"/>
    <mergeCell ref="AC32:AG32"/>
    <mergeCell ref="U45:Y45"/>
    <mergeCell ref="U189:Y189"/>
    <mergeCell ref="H43:H44"/>
    <mergeCell ref="A36:C37"/>
    <mergeCell ref="D36:E37"/>
    <mergeCell ref="F36:G37"/>
    <mergeCell ref="H36:H37"/>
    <mergeCell ref="A41:H41"/>
    <mergeCell ref="F66:G67"/>
    <mergeCell ref="H66:H67"/>
    <mergeCell ref="A64:H64"/>
    <mergeCell ref="A51:C52"/>
    <mergeCell ref="D51:E52"/>
    <mergeCell ref="F51:G52"/>
    <mergeCell ref="H51:H52"/>
    <mergeCell ref="B111:P111"/>
    <mergeCell ref="B110:E110"/>
    <mergeCell ref="B109:E109"/>
    <mergeCell ref="U10:Y10"/>
    <mergeCell ref="U22:Y22"/>
    <mergeCell ref="A11:H11"/>
    <mergeCell ref="B19:F19"/>
    <mergeCell ref="A21:C22"/>
    <mergeCell ref="D21:E22"/>
    <mergeCell ref="F21:G22"/>
    <mergeCell ref="H21:H22"/>
    <mergeCell ref="A26:H26"/>
    <mergeCell ref="U67:Y67"/>
    <mergeCell ref="A57:H57"/>
    <mergeCell ref="A49:H49"/>
    <mergeCell ref="U34:Y34"/>
    <mergeCell ref="U39:Y39"/>
    <mergeCell ref="U51:Y51"/>
    <mergeCell ref="A88:H88"/>
    <mergeCell ref="A90:C91"/>
    <mergeCell ref="D90:E91"/>
    <mergeCell ref="F90:G91"/>
    <mergeCell ref="H90:H91"/>
    <mergeCell ref="A80:H80"/>
    <mergeCell ref="U73:Y73"/>
    <mergeCell ref="AC50:AG50"/>
    <mergeCell ref="AC54:AG54"/>
    <mergeCell ref="AC59:AG59"/>
    <mergeCell ref="A2:F2"/>
    <mergeCell ref="A4:H4"/>
    <mergeCell ref="AC4:AG4"/>
    <mergeCell ref="G1:O1"/>
    <mergeCell ref="G2:Q2"/>
    <mergeCell ref="U2:Y2"/>
    <mergeCell ref="U4:Y4"/>
    <mergeCell ref="AC22:AG22"/>
    <mergeCell ref="AC37:AG37"/>
    <mergeCell ref="F5:G6"/>
    <mergeCell ref="H5:H6"/>
    <mergeCell ref="A5:C6"/>
    <mergeCell ref="D5:E6"/>
    <mergeCell ref="A59:C60"/>
    <mergeCell ref="D59:E60"/>
    <mergeCell ref="F59:G60"/>
    <mergeCell ref="H59:H60"/>
    <mergeCell ref="A66:C67"/>
    <mergeCell ref="D66:E6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Amount of N-fertilizer aplied</vt:lpstr>
      <vt:lpstr>Crop production</vt:lpstr>
      <vt:lpstr>Livestock</vt:lpstr>
      <vt:lpstr>National 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Luminita Olteanu</dc:creator>
  <cp:lastModifiedBy>Luminita Olteanu</cp:lastModifiedBy>
  <dcterms:created xsi:type="dcterms:W3CDTF">2013-01-29T09:30:04Z</dcterms:created>
  <dcterms:modified xsi:type="dcterms:W3CDTF">2025-02-20T11:45:28Z</dcterms:modified>
</cp:coreProperties>
</file>