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gulmira.sergazina\Desktop\Gulmira S\1_Projects Implem_2024_2028\1_9NC_1&amp;2BTRs\BTR 1 in 2024\Prefinal 1BTR\1BTR text for Resubmission\"/>
    </mc:Choice>
  </mc:AlternateContent>
  <xr:revisionPtr revIDLastSave="0" documentId="13_ncr:1_{AF704B14-BD3D-423D-B7DA-0EA0C94CADD8}" xr6:coauthVersionLast="47" xr6:coauthVersionMax="47" xr10:uidLastSave="{00000000-0000-0000-0000-000000000000}"/>
  <bookViews>
    <workbookView xWindow="28680" yWindow="-120" windowWidth="29040" windowHeight="15720" activeTab="10" xr2:uid="{00000000-000D-0000-FFFF-FFFF00000000}"/>
  </bookViews>
  <sheets>
    <sheet name="Index sheet" sheetId="20" r:id="rId1"/>
    <sheet name="Appendix" sheetId="21" r:id="rId2"/>
    <sheet name="Table 1" sheetId="1" r:id="rId3"/>
    <sheet name="Table 2" sheetId="2" r:id="rId4"/>
    <sheet name="Table 3" sheetId="4" r:id="rId5"/>
    <sheet name="Table 4" sheetId="6" r:id="rId6"/>
    <sheet name="Table 5" sheetId="3" r:id="rId7"/>
    <sheet name="Table 6" sheetId="19" r:id="rId8"/>
    <sheet name="Table 7" sheetId="10" r:id="rId9"/>
    <sheet name="Table 8" sheetId="12" r:id="rId10"/>
    <sheet name="Table 9" sheetId="13" r:id="rId11"/>
    <sheet name="Table 10" sheetId="15" r:id="rId12"/>
    <sheet name="Table 11" sheetId="17"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9" i="19" l="1"/>
  <c r="B25" i="10" l="1"/>
  <c r="B24" i="10"/>
  <c r="F14" i="13" l="1"/>
  <c r="F13" i="13"/>
  <c r="F18" i="13"/>
  <c r="F17" i="13"/>
  <c r="F16" i="13"/>
  <c r="F15" i="13"/>
  <c r="E14" i="13"/>
  <c r="E13" i="13"/>
  <c r="E18" i="13"/>
  <c r="E17" i="13"/>
  <c r="E16" i="13"/>
  <c r="E15" i="13"/>
  <c r="D14" i="13"/>
  <c r="D13" i="13"/>
  <c r="D18" i="13"/>
  <c r="D17" i="13"/>
  <c r="D16" i="13"/>
  <c r="D15" i="13"/>
  <c r="C14" i="13"/>
  <c r="C13" i="13"/>
  <c r="C18" i="13"/>
  <c r="C17" i="13"/>
  <c r="C16" i="13"/>
  <c r="C15" i="13"/>
  <c r="F14" i="12"/>
  <c r="F13" i="12"/>
  <c r="F17" i="12"/>
  <c r="F15" i="12"/>
  <c r="F18" i="12"/>
  <c r="F16" i="12"/>
  <c r="E14" i="12"/>
  <c r="E13" i="12"/>
  <c r="E17" i="12"/>
  <c r="E15" i="12"/>
  <c r="E18" i="12"/>
  <c r="E16" i="12"/>
  <c r="D14" i="12"/>
  <c r="D13" i="12"/>
  <c r="D18" i="12"/>
  <c r="D17" i="12"/>
  <c r="D16" i="12"/>
  <c r="D15" i="12"/>
  <c r="C13" i="12"/>
  <c r="C17" i="12"/>
  <c r="C15" i="12"/>
  <c r="C14" i="12"/>
  <c r="C18" i="12"/>
  <c r="C16" i="12"/>
  <c r="B13" i="10"/>
  <c r="F15" i="10"/>
  <c r="F16" i="10"/>
  <c r="F14" i="10"/>
  <c r="E16" i="10"/>
  <c r="E14" i="10"/>
  <c r="D14" i="10"/>
  <c r="D16" i="10"/>
  <c r="C16" i="10"/>
  <c r="C14" i="10"/>
  <c r="E13" i="10"/>
  <c r="C13" i="10"/>
  <c r="D13" i="10"/>
  <c r="E17" i="10"/>
  <c r="E15" i="10"/>
  <c r="F13" i="10"/>
  <c r="E24" i="10" l="1"/>
  <c r="C15" i="10" l="1"/>
  <c r="C17" i="10" l="1"/>
  <c r="F17" i="10"/>
  <c r="D17" i="10"/>
  <c r="D15" i="10"/>
  <c r="F18" i="10"/>
  <c r="E18" i="10"/>
  <c r="D18" i="10"/>
  <c r="C18" i="10"/>
  <c r="B15" i="10"/>
  <c r="C24" i="10" l="1"/>
  <c r="C25" i="10" l="1"/>
  <c r="B18" i="13"/>
  <c r="B17" i="13"/>
  <c r="B16" i="13"/>
  <c r="B15" i="13"/>
  <c r="B14" i="13"/>
  <c r="B13" i="13"/>
  <c r="B17" i="12"/>
  <c r="B15" i="12"/>
  <c r="B13" i="12"/>
  <c r="B17" i="10"/>
  <c r="B18" i="12"/>
  <c r="B16" i="12"/>
  <c r="B14" i="12"/>
  <c r="B18" i="10"/>
  <c r="B16" i="10"/>
  <c r="B14" i="10"/>
  <c r="C24" i="12" l="1"/>
  <c r="D25" i="10" l="1"/>
  <c r="E25" i="10"/>
  <c r="F25" i="10"/>
  <c r="D24" i="10"/>
  <c r="F24" i="10"/>
  <c r="C25" i="13" l="1"/>
  <c r="D25" i="13"/>
  <c r="E25" i="13"/>
  <c r="F25" i="13"/>
  <c r="B25" i="13"/>
  <c r="C24" i="13"/>
  <c r="D24" i="13"/>
  <c r="E24" i="13"/>
  <c r="F24" i="13"/>
  <c r="B24" i="13"/>
  <c r="C25" i="12"/>
  <c r="D25" i="12"/>
  <c r="E25" i="12"/>
  <c r="F25" i="12"/>
  <c r="B25" i="12"/>
  <c r="D24" i="12"/>
  <c r="E24" i="12"/>
  <c r="F24" i="12"/>
  <c r="B24" i="12"/>
  <c r="AL30" i="19" l="1"/>
  <c r="AL32" i="19"/>
  <c r="AL29" i="19"/>
  <c r="AL28" i="19"/>
  <c r="U34" i="19"/>
  <c r="V34" i="19"/>
  <c r="W34" i="19"/>
  <c r="X34" i="19"/>
  <c r="Y34" i="19"/>
  <c r="Z34" i="19"/>
  <c r="AA34" i="19"/>
  <c r="AB34" i="19"/>
  <c r="AC34" i="19"/>
  <c r="AD34" i="19"/>
  <c r="AE34" i="19"/>
  <c r="AF34" i="19"/>
  <c r="AG34" i="19"/>
  <c r="AH34" i="19"/>
  <c r="AI34" i="19"/>
  <c r="AJ34" i="19"/>
  <c r="AK34" i="19"/>
  <c r="G34" i="19"/>
  <c r="H34" i="19"/>
  <c r="I34" i="19"/>
  <c r="J34" i="19"/>
  <c r="K34" i="19"/>
  <c r="L34" i="19"/>
  <c r="M34" i="19"/>
  <c r="N34" i="19"/>
  <c r="O34" i="19"/>
  <c r="P34" i="19"/>
  <c r="Q34" i="19"/>
  <c r="R34" i="19"/>
  <c r="S34" i="19"/>
  <c r="T34" i="19"/>
  <c r="F34" i="19"/>
  <c r="E34" i="19"/>
  <c r="AL23" i="19"/>
  <c r="AL22" i="19"/>
  <c r="AL21" i="19"/>
  <c r="AL20" i="19"/>
  <c r="AL10" i="19"/>
  <c r="AL11" i="19"/>
  <c r="AL12" i="19"/>
  <c r="AL13" i="19"/>
  <c r="AL14" i="19"/>
  <c r="AL34" i="19" l="1"/>
</calcChain>
</file>

<file path=xl/sharedStrings.xml><?xml version="1.0" encoding="utf-8"?>
<sst xmlns="http://schemas.openxmlformats.org/spreadsheetml/2006/main" count="993" uniqueCount="501">
  <si>
    <t>Common tabular formats for the electronic reporting of the information necessary to track progress made in implementing and achieving nationally determined contributions under Article 4 of the Paris Agreement</t>
  </si>
  <si>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</si>
  <si>
    <t>No.</t>
    <phoneticPr fontId="0"/>
  </si>
  <si>
    <t>Objectives</t>
  </si>
  <si>
    <t>Gases affected</t>
  </si>
  <si>
    <t>Start year of implementation</t>
  </si>
  <si>
    <t>Implementing entity or entities</t>
  </si>
  <si>
    <t xml:space="preserve"> focusing on those that have the most significant impact on GHG emissions or removals and those impacting key categories in the national GHG inventory.</t>
    <phoneticPr fontId="0"/>
  </si>
  <si>
    <t xml:space="preserve"> This information shall be presented in narrative and tabular format (para. 80 of the MPGs).</t>
    <phoneticPr fontId="0"/>
  </si>
  <si>
    <t>consistent with Article 4, para. 7, information to be reported under paras. 80, 82 and 83 of the MPGs includes relevant information on policies and measures contributing to mitigation cobenefits</t>
  </si>
  <si>
    <t>resulting from adaptation actions or economic diversification plans (para. 84 of the MPGs).</t>
  </si>
  <si>
    <t>appropriate (para. 83(a–c) of the MPGs)</t>
  </si>
  <si>
    <t>MPGs).</t>
  </si>
  <si>
    <t>(paras. 81 and 82(f) of the MPGs).</t>
  </si>
  <si>
    <t>country Parties that need flexibility in the light of their capacities with respect to this provision are instead encouraged to report this information (para. 85 of the MPGs).</t>
  </si>
  <si>
    <t>This information may be presented in an annex to the biennial transparency report (para. 86 of the MPGs).</t>
  </si>
  <si>
    <t>Source: Decision 5/CMA.3. Guidance operationalizing the modalities, procedures and guidelines for the enhanced transparency framework referred to in Article 13 of the Paris Agreement. In Annex II.</t>
    <phoneticPr fontId="0"/>
  </si>
  <si>
    <t>Definition needed to understand each indicator:</t>
  </si>
  <si>
    <t>Any sector or category defined differently than in 
the national inventory report:</t>
  </si>
  <si>
    <t xml:space="preserve">{Sector} </t>
  </si>
  <si>
    <t>Definition needed to understand mitigation co_x0002_benefits of adaptation actions and/or economic 
diversification plans:</t>
  </si>
  <si>
    <t xml:space="preserve">{Mitigation co-benefit(s)} </t>
  </si>
  <si>
    <t>Any other relevant definitions:</t>
  </si>
  <si>
    <t>{…}</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</si>
  <si>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</si>
  <si>
    <t xml:space="preserve">Reporting requirement </t>
  </si>
  <si>
    <t xml:space="preserve">Description or reference to the relevant section of the BTR </t>
  </si>
  <si>
    <t xml:space="preserve">Information on the accounting approach used is 
consistent with paragraphs 13–17 and annex II of 
decision 4/CMA.1 (para. 72 of the MPGs) </t>
  </si>
  <si>
    <t xml:space="preserve">Accounting approach, including how it is consistent with Article 4, paragraphs 13–14, of the Paris Agreement (para. 71 of the MPGs) </t>
  </si>
  <si>
    <t xml:space="preserve">Any conditions and assumptions relevant to the 
achievement of the NDC under Article 4, as 
applicable and available (para. 75(i) of the MPGs) </t>
  </si>
  <si>
    <t xml:space="preserve">Key parameters, assumptions, definitions, data 
sources and models used, as applicable and available (para. 75(a) of the MPGs) </t>
  </si>
  <si>
    <t xml:space="preserve">IPCC Guidelines used, as applicable and available 
(para. 75(b) of the MPGs) </t>
  </si>
  <si>
    <t xml:space="preserve">Report the metrics used, as applicable and available (para. 75(c) of the MPGs) </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</si>
  <si>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</si>
  <si>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 xml:space="preserve">Provide information on methodologies used to track progress arising from the implementation of policies and measures, as appropriate (para. 1(d) of annex II to decision 4/CMA.1)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</si>
  <si>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</si>
  <si>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</si>
  <si>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</si>
  <si>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How the Party has drawn on existing methods and guidance established under the Convention and its related legal instruments, as appropriate, if applicable (para. 1(c) of annex II to decision 4/CMA.1) </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</si>
  <si>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</si>
  <si>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</si>
  <si>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 xml:space="preserve">Any other methodologies related to the NDC under Article 4 (para. 75(h) of the MPGs) </t>
  </si>
  <si>
    <t>For Parties that apply technical changes to update reference points, reference levels or projections, the changes should reflect either of the following (para. 2(d) of annex II to decision 4/CMA.1):</t>
  </si>
  <si>
    <t xml:space="preserve">Technical changes related to improvements in 
accuracy that maintain methodological consistency (para. 2(d)(ii) of annex II to decision 4/CMA.1) </t>
  </si>
  <si>
    <t xml:space="preserve">Technical changes related to technical corrections to the Party’s inventory (para. 2(d)(i) of annex II to decision 4/CMA.1) </t>
  </si>
  <si>
    <t xml:space="preserve">Explain how any methodological changes and 
technical updates made during the implementation of their NDC were transparently reported (para. 2(e) of annex II to decision 4/CMA.1) </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</si>
  <si>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</si>
  <si>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</si>
  <si>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 xml:space="preserve">Explain how Party is striving to include all categories of anthropogenic emissions and removals in its NDC, and, once a source, sink or activity is included,  continue to include it (para. 3(b) of annex II to decision 4/CMA.1) </t>
  </si>
  <si>
    <t>Provide an explanation of why any categories of anthropogenic emissions or removals are excluded (para. 4 of annex II to decision 4/CMA.1)</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</si>
  <si>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</si>
  <si>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</si>
  <si>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 xml:space="preserve">Provide information on how each cooperative approach promotes sustainable development, consistent with decisions adopted by the CMA on Article 6 (para. 77(d)(iv) of the MPGs) </t>
  </si>
  <si>
    <t xml:space="preserve">Provide information on how each cooperative approach ensures environmental integrity consistent with decisions adopted by the CMA on Article 6 (para. 77(d)(iv) of the MPGs) </t>
  </si>
  <si>
    <t xml:space="preserve">Provide information on how each cooperative approach ensures transparency, including in governance, consistent with decisions adopted by the CMA on Article 6 (para. 77(d)(iv) of the MPGs) </t>
  </si>
  <si>
    <t xml:space="preserve">Provide information on how each cooperative approach applies robust accounting to ensure, inter alia, the avoidance of double counting, consistent with decisions adopted by the CMA on Article 6 (para. 77(d)(iv) of the MPGs) </t>
  </si>
  <si>
    <t>Any other information consistent with decisions adopted by the CMA on reporting under Article 6 (para. 77(d)(iii) of the MPGs)</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</si>
  <si>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</si>
  <si>
    <t>3. Structured summary: Methodologies and accounting approaches – consistency with Article 4, paragraphs 13 and 14, of the Paris Agreement and with decision 4/CMA.1</t>
  </si>
  <si>
    <t xml:space="preserve">Accounting for anthropogenic emissions and removals in accordance with methodologies and common metrics assessed by the IPCC and adopted by the Conference of the Parties serving as the meeting of the Parties to the Paris Agreement: </t>
  </si>
  <si>
    <t>Example for Parties that participates in cooperative approaches that involve the use of ITMOs towards an NDC under Article 4 of the Paris Agreement</t>
  </si>
  <si>
    <t>Implementation period of the NDC covering information for previous reporting years and the most recent year, including the end year or end of period {MPGs, p. 68, 77(a)(ii–iii)}</t>
  </si>
  <si>
    <t>Comparison:</t>
  </si>
  <si>
    <t>Achievement of NDC: {yes/no, explanation}</t>
  </si>
  <si>
    <t>If applicable, multi-year emissions trajectory, trajectories or budget for its NDC implementation period that is consistent with the NDC (para. 7(b), annex to decision -/CMA.3)</t>
  </si>
  <si>
    <t>The cumulative information in respect of the annual
information in para. 23(f), annex to decision -/CMA.3, as
applicable (para. 23(h), annex to decision -/CMA.3)</t>
  </si>
  <si>
    <t>Assessment of the achievement of the Party’s NDC under
Article 4 of the Paris Agreement (para. 70 of the MPGs):</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</si>
  <si>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</si>
  <si>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</si>
  <si>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</si>
  <si>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Progress made towards the NDC,
as determined by comparing the
most recent information for each
selected indicator, including for
the end year or end of period, with
the reference point(s), level(s),
baseline(s), base year(s) or
starting point(s)
(paras. 69–70 of the MPGs)</t>
  </si>
  <si>
    <t>Target
year or
period</t>
  </si>
  <si>
    <t>{Parties can add rows for each additional indicator and
supporting information for each indicator, e.g. baseline values,
baseline for the portion of NDC, target values, mitigation effects
of policies and measures, etc.}</t>
  </si>
  <si>
    <r>
      <t>Definitions</t>
    </r>
    <r>
      <rPr>
        <vertAlign val="superscript"/>
        <sz val="9"/>
        <color theme="1"/>
        <rFont val="Times New Roman"/>
        <family val="1"/>
        <charset val="204"/>
      </rPr>
      <t>a</t>
    </r>
  </si>
  <si>
    <r>
      <rPr>
        <vertAlign val="superscript"/>
        <sz val="9"/>
        <color theme="1"/>
        <rFont val="Times New Roman"/>
        <family val="1"/>
        <charset val="204"/>
      </rPr>
      <t xml:space="preserve">a </t>
    </r>
    <r>
      <rPr>
        <sz val="9"/>
        <color theme="1"/>
        <rFont val="Times New Roman"/>
        <family val="1"/>
        <charset val="204"/>
      </rPr>
      <t>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</si>
  <si>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t>Explain how the accounting for anthropogenic emissions and removals is in accordance with methodologies and common metrics assessed by the IPCC and in accordance with decision 18/CMA.1 (para. 1(a) of annex II to decision 4/CMA.1)</t>
  </si>
  <si>
    <t xml:space="preserve">Each methodology and/or accounting approach used to assess the implementation and achievement of the target(s), as applicable (para. 74(a) of the MPGs) </t>
  </si>
  <si>
    <t xml:space="preserve">Each methodology and/or accounting approach used for the construction of any baseline, to the extent possible (para. 74(b) of the MPGs) </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</si>
  <si>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</si>
  <si>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</si>
  <si>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Ensuring methodological consistency, including on 
baselines, between the communication and 
implementation of NDCs (para. 12(b) of the decision 
4/CMA.1):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</si>
  <si>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</si>
  <si>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</si>
  <si>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6. Summary of greenhouse gas emissions and removals in accordance with the common reporting table 10 emission trends –summary</t>
  </si>
  <si>
    <t>According to paragraph 91 of the MPGs, each Party that submits a stand-alone national inventory report shall provide a summary</t>
  </si>
  <si>
    <t>of its GHG emissions and removals. This information shall be provided for those reporting years corresponding to the Party’s</t>
  </si>
  <si>
    <t>most recent national inventory report, in a tabular format.</t>
  </si>
  <si>
    <t>Energy</t>
  </si>
  <si>
    <t>Transport</t>
  </si>
  <si>
    <t>Industrial processes and product use</t>
  </si>
  <si>
    <t>Agriculture</t>
  </si>
  <si>
    <t>LULUCF</t>
  </si>
  <si>
    <t xml:space="preserve">Waste </t>
  </si>
  <si>
    <t>Other (specify)</t>
  </si>
  <si>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</si>
  <si>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</si>
  <si>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</si>
  <si>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</si>
  <si>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</si>
  <si>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</si>
  <si>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</si>
  <si>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HFCs</t>
  </si>
  <si>
    <t>PFCs</t>
  </si>
  <si>
    <t>SF6</t>
  </si>
  <si>
    <t>NF3</t>
  </si>
  <si>
    <t>Total with LULUCF</t>
  </si>
  <si>
    <t>Total without LULUCF</t>
  </si>
  <si>
    <r>
      <t>Most recent year in the Party’s national inventory report (kt CO2 eq)</t>
    </r>
    <r>
      <rPr>
        <i/>
        <vertAlign val="superscript"/>
        <sz val="11"/>
        <color theme="1"/>
        <rFont val="Calibri"/>
        <family val="2"/>
        <charset val="204"/>
        <scheme val="minor"/>
      </rPr>
      <t>c</t>
    </r>
  </si>
  <si>
    <r>
      <t>Projections of GHG emissions and removals, (kt CO2 eq)</t>
    </r>
    <r>
      <rPr>
        <i/>
        <vertAlign val="superscript"/>
        <sz val="11"/>
        <color theme="1"/>
        <rFont val="Calibri"/>
        <family val="2"/>
        <charset val="204"/>
        <scheme val="minor"/>
      </rPr>
      <t>c</t>
    </r>
  </si>
  <si>
    <t>in the light of their capacities are instead encouraged to report such projections (para. 92 of the MPGs).</t>
  </si>
  <si>
    <t>instead report using a less detailed methodology or coverage (para. 102 of the MPGs).</t>
  </si>
  <si>
    <t>ending in zero or five; those developing country Parties that need flexibility in the light of their capacities with respect to this</t>
  </si>
  <si>
    <t>provision have the flexibility to instead extend their projections at least to the end point of their NDC under Article 4 of the Paris</t>
  </si>
  <si>
    <t>Agreement (para. 95 of the MPGs).</t>
  </si>
  <si>
    <r>
      <rPr>
        <vertAlign val="superscript"/>
        <sz val="11"/>
        <color theme="1"/>
        <rFont val="Calibri"/>
        <family val="2"/>
        <charset val="204"/>
        <scheme val="minor"/>
      </rPr>
      <t>a</t>
    </r>
    <r>
      <rPr>
        <sz val="11"/>
        <color theme="1"/>
        <rFont val="Calibri"/>
        <family val="2"/>
        <charset val="204"/>
        <scheme val="minor"/>
      </rPr>
      <t xml:space="preserve"> Each Party shall report projections pursuant to paras. 93–101 of the MPGs; those developing country Parties that need flexibility</t>
    </r>
  </si>
  <si>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 the MPGs can</t>
    </r>
  </si>
  <si>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 beyond the next year</t>
    </r>
  </si>
  <si>
    <r>
      <rPr>
        <vertAlign val="superscript"/>
        <sz val="11"/>
        <color theme="1"/>
        <rFont val="Calibri"/>
        <family val="2"/>
        <charset val="204"/>
        <scheme val="minor"/>
      </rPr>
      <t>d</t>
    </r>
    <r>
      <rPr>
        <sz val="11"/>
        <color theme="1"/>
        <rFont val="Calibri"/>
        <family val="2"/>
        <charset val="204"/>
        <scheme val="minor"/>
      </rPr>
      <t xml:space="preserve"> In accordance with para. 82(f) of the MPGs.</t>
    </r>
  </si>
  <si>
    <t>need flexibility in the light of their capacities are instead encouraged to report such projections (para. 92 of the</t>
  </si>
  <si>
    <t>the MPGs can instead report using a less detailed methodology or coverage (para. 102 of the MPGs).</t>
  </si>
  <si>
    <t>beyond the next year ending in zero or five; those developing country Parties that need flexibility in the light of their</t>
  </si>
  <si>
    <t>capacities with respect to this provision have the flexibility to instead extend their projections at least to the end point</t>
  </si>
  <si>
    <t>of their NDC under Article 4 of the Paris Agreement (para. 95 of the MPGs).</t>
  </si>
  <si>
    <r>
      <rPr>
        <vertAlign val="superscript"/>
        <sz val="11"/>
        <color theme="1"/>
        <rFont val="Calibri"/>
        <family val="2"/>
        <charset val="204"/>
        <scheme val="minor"/>
      </rPr>
      <t xml:space="preserve">a </t>
    </r>
    <r>
      <rPr>
        <sz val="11"/>
        <color theme="1"/>
        <rFont val="Calibri"/>
        <family val="2"/>
        <charset val="204"/>
        <scheme val="minor"/>
      </rPr>
      <t>Each Party shall report projections pursuant to paras. 93–101 of the MPGs; those developing country Parties that</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</si>
  <si>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t>
    </r>
  </si>
  <si>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t>
    </r>
  </si>
  <si>
    <r>
      <rPr>
        <vertAlign val="superscript"/>
        <sz val="9"/>
        <color theme="1"/>
        <rFont val="Calibri"/>
        <family val="2"/>
        <charset val="204"/>
        <scheme val="minor"/>
      </rPr>
      <t>a</t>
    </r>
    <r>
      <rPr>
        <sz val="9"/>
        <color theme="1"/>
        <rFont val="Calibri"/>
        <family val="2"/>
        <charset val="204"/>
        <scheme val="minor"/>
      </rPr>
      <t xml:space="preserve"> Each Party shall identify the indicator(s) that it has selected to track progress of its NDC (para. 65 of the MPGs).</t>
    </r>
  </si>
  <si>
    <r>
      <rPr>
        <vertAlign val="superscript"/>
        <sz val="9"/>
        <color theme="1"/>
        <rFont val="Calibri"/>
        <family val="2"/>
        <charset val="204"/>
        <scheme val="minor"/>
      </rPr>
      <t>b</t>
    </r>
    <r>
      <rPr>
        <sz val="9"/>
        <color theme="1"/>
        <rFont val="Calibri"/>
        <family val="2"/>
        <charset val="204"/>
        <scheme val="minor"/>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</si>
  <si>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rPr>
        <i/>
        <vertAlign val="superscript"/>
        <sz val="9"/>
        <color theme="1"/>
        <rFont val="Calibri"/>
        <family val="2"/>
        <charset val="204"/>
        <scheme val="minor"/>
      </rPr>
      <t>c</t>
    </r>
    <r>
      <rPr>
        <i/>
        <sz val="9"/>
        <color theme="1"/>
        <rFont val="Calibri"/>
        <family val="2"/>
        <charset val="204"/>
        <scheme val="minor"/>
      </rPr>
      <t xml:space="preserve"> </t>
    </r>
    <r>
      <rPr>
        <sz val="9"/>
        <color theme="1"/>
        <rFont val="Calibri"/>
        <family val="2"/>
        <charset val="204"/>
        <scheme val="minor"/>
      </rPr>
      <t>Each Party shall describe for each indicator identified how it is related to its NDC (para. 76(a) of the MPGs).</t>
    </r>
  </si>
  <si>
    <r>
      <t>Information for the reference point(s), level(s), baseline(s), base year(s) or starting point(s), as appropriate</t>
    </r>
    <r>
      <rPr>
        <i/>
        <vertAlign val="superscript"/>
        <sz val="10"/>
        <color theme="1"/>
        <rFont val="Calibri"/>
        <family val="2"/>
        <charset val="204"/>
        <scheme val="minor"/>
      </rPr>
      <t>b</t>
    </r>
  </si>
  <si>
    <r>
      <t>Updates in accordance with any recalculation of the GHG inventory, as appropriate</t>
    </r>
    <r>
      <rPr>
        <i/>
        <vertAlign val="superscript"/>
        <sz val="10"/>
        <color theme="1"/>
        <rFont val="Calibri"/>
        <family val="2"/>
        <charset val="204"/>
        <scheme val="minor"/>
      </rPr>
      <t>b</t>
    </r>
  </si>
  <si>
    <r>
      <t>Relation to NDC</t>
    </r>
    <r>
      <rPr>
        <i/>
        <vertAlign val="superscript"/>
        <sz val="10"/>
        <color theme="1"/>
        <rFont val="Calibri"/>
        <family val="2"/>
        <charset val="204"/>
        <scheme val="minor"/>
      </rPr>
      <t>c</t>
    </r>
  </si>
  <si>
    <r>
      <rPr>
        <vertAlign val="superscript"/>
        <sz val="10"/>
        <color theme="1"/>
        <rFont val="Calibri"/>
        <family val="2"/>
        <charset val="204"/>
        <scheme val="minor"/>
      </rPr>
      <t>a</t>
    </r>
    <r>
      <rPr>
        <sz val="10"/>
        <color theme="1"/>
        <rFont val="Calibri"/>
        <family val="2"/>
        <charset val="204"/>
        <scheme val="minor"/>
      </rPr>
      <t xml:space="preserve"> For the first NDC under Article 4, each Party shall clearly indicate and report its accounting approach, including how it is consistent with Article 4, paras. 13–14, of the Paris Agreement (para. 71 of the MPGs) </t>
    </r>
  </si>
  <si>
    <r>
      <rPr>
        <vertAlign val="superscript"/>
        <sz val="10"/>
        <color theme="1"/>
        <rFont val="Calibri"/>
        <family val="2"/>
        <charset val="204"/>
        <scheme val="minor"/>
      </rPr>
      <t>b</t>
    </r>
    <r>
      <rPr>
        <sz val="10"/>
        <color theme="1"/>
        <rFont val="Calibri"/>
        <family val="2"/>
        <charset val="204"/>
        <scheme val="minor"/>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</si>
  <si>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Where applicable, total GHG emissions and removals consistent with the coverage of the NDC </t>
    </r>
    <r>
      <rPr>
        <i/>
        <sz val="10"/>
        <rFont val="Calibri"/>
        <family val="2"/>
        <charset val="204"/>
        <scheme val="minor"/>
      </rPr>
      <t>{MPGs, p. 77(b)}</t>
    </r>
  </si>
  <si>
    <r>
      <t xml:space="preserve">Contribution from the LULUCF sector for each year of the target period or target year, if not included in the inventory time series of total net GHG emissions and removals, as applicable </t>
    </r>
    <r>
      <rPr>
        <i/>
        <sz val="10"/>
        <rFont val="Calibri"/>
        <family val="2"/>
        <charset val="204"/>
        <scheme val="minor"/>
      </rPr>
      <t>{MPGs, p. 77(c)}</t>
    </r>
  </si>
  <si>
    <r>
      <t>Indicator(s) selected to track progress towards the implementation and/or achievement of the NDC under Article 4 of the Paris Agreement</t>
    </r>
    <r>
      <rPr>
        <b/>
        <i/>
        <vertAlign val="superscript"/>
        <sz val="11"/>
        <rFont val="Calibri"/>
        <family val="2"/>
        <charset val="204"/>
        <scheme val="minor"/>
      </rPr>
      <t>c</t>
    </r>
    <r>
      <rPr>
        <b/>
        <i/>
        <sz val="11"/>
        <rFont val="Calibri"/>
        <family val="2"/>
        <charset val="204"/>
        <scheme val="minor"/>
      </rPr>
      <t>: {MPGs, p. 65, 77(a)}</t>
    </r>
  </si>
  <si>
    <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theme="1"/>
        <rFont val="Calibri"/>
        <family val="2"/>
        <charset val="204"/>
        <scheme val="minor"/>
      </rPr>
      <t>(a, b)</t>
    </r>
  </si>
  <si>
    <r>
      <t>Most recent year in the Party’s national inventory report (kt CO2 eq)</t>
    </r>
    <r>
      <rPr>
        <i/>
        <vertAlign val="superscript"/>
        <sz val="12"/>
        <color theme="1"/>
        <rFont val="Calibri"/>
        <family val="2"/>
        <charset val="204"/>
        <scheme val="minor"/>
      </rPr>
      <t>c</t>
    </r>
  </si>
  <si>
    <r>
      <t>Projections of GHG emissions and removals, (kt CO2 eq)</t>
    </r>
    <r>
      <rPr>
        <i/>
        <vertAlign val="superscript"/>
        <sz val="12"/>
        <color theme="1"/>
        <rFont val="Calibri"/>
        <family val="2"/>
        <charset val="204"/>
        <scheme val="minor"/>
      </rPr>
      <t>c</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</si>
  <si>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 the MPGs can</t>
    </r>
  </si>
  <si>
    <r>
      <t>10. Projections of key indicators</t>
    </r>
    <r>
      <rPr>
        <b/>
        <vertAlign val="superscript"/>
        <sz val="14"/>
        <color theme="1"/>
        <rFont val="Calibri"/>
        <family val="2"/>
        <charset val="204"/>
        <scheme val="minor"/>
      </rPr>
      <t>a,b</t>
    </r>
  </si>
  <si>
    <t>Unit, as applicable</t>
  </si>
  <si>
    <t>Most recent year in the Party’s
national inventory report, or the most recent year for which data is available</t>
  </si>
  <si>
    <t>of the Paris Agreement (para. 97 of the MPGs).</t>
  </si>
  <si>
    <t>Parties that need flexibility in the light of their capacities with respect to this provision have the flexibility to instead</t>
  </si>
  <si>
    <t>extend their projections at least to the end point of their NDC under Article 4 of the Paris Agreement (para. 95 of the</t>
  </si>
  <si>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t>
    </r>
  </si>
  <si>
    <r>
      <rPr>
        <vertAlign val="superscript"/>
        <sz val="11"/>
        <color theme="1"/>
        <rFont val="Calibri"/>
        <family val="2"/>
        <charset val="204"/>
        <scheme val="minor"/>
      </rPr>
      <t>c</t>
    </r>
    <r>
      <rPr>
        <sz val="11"/>
        <color theme="1"/>
        <rFont val="Calibri"/>
        <family val="2"/>
        <charset val="204"/>
        <scheme val="minor"/>
      </rPr>
      <t xml:space="preserve"> Each Party shall also provide projections of key indicators to determine progress towards its NDC under Article 4</t>
    </r>
  </si>
  <si>
    <r>
      <rPr>
        <vertAlign val="superscript"/>
        <sz val="11"/>
        <color theme="1"/>
        <rFont val="Calibri"/>
        <family val="2"/>
        <charset val="204"/>
        <scheme val="minor"/>
      </rPr>
      <t>d</t>
    </r>
    <r>
      <rPr>
        <sz val="11"/>
        <color theme="1"/>
        <rFont val="Calibri"/>
        <family val="2"/>
        <charset val="204"/>
        <scheme val="minor"/>
      </rPr>
      <t xml:space="preserve"> Future years extended to at least 15 years beyond the next year ending in zero or five; those developing country</t>
    </r>
  </si>
  <si>
    <r>
      <t>11. Key underlying assumptions and parameters used for projections</t>
    </r>
    <r>
      <rPr>
        <b/>
        <vertAlign val="superscript"/>
        <sz val="14"/>
        <color theme="1"/>
        <rFont val="Calibri"/>
        <family val="2"/>
        <charset val="204"/>
        <scheme val="minor"/>
      </rPr>
      <t>a,b</t>
    </r>
  </si>
  <si>
    <t>Note: The Party could add rows for each additional key underlying assumptions and parameters.</t>
  </si>
  <si>
    <t>93–101 of the MPGs can instead report using a less detailed methodology or coverage (para. 102 of the MPGs).</t>
  </si>
  <si>
    <t>key underlying assumptions and parameters used for projections (e.g. gross domestic product growth rate/level,</t>
  </si>
  <si>
    <t>population growth rate/level) (para. 96(a) of the MPGs).</t>
  </si>
  <si>
    <r>
      <t>Indicator(s) selected to track progress</t>
    </r>
    <r>
      <rPr>
        <i/>
        <vertAlign val="superscript"/>
        <sz val="12"/>
        <color theme="1"/>
        <rFont val="Calibri"/>
        <family val="2"/>
        <charset val="204"/>
        <scheme val="minor"/>
      </rPr>
      <t>a</t>
    </r>
  </si>
  <si>
    <r>
      <t xml:space="preserve">Name </t>
    </r>
    <r>
      <rPr>
        <i/>
        <vertAlign val="superscript"/>
        <sz val="12"/>
        <color theme="1"/>
        <rFont val="Calibri"/>
        <family val="2"/>
        <charset val="204"/>
        <scheme val="minor"/>
      </rPr>
      <t>(c)</t>
    </r>
  </si>
  <si>
    <r>
      <t>Description</t>
    </r>
    <r>
      <rPr>
        <i/>
        <vertAlign val="superscript"/>
        <sz val="12"/>
        <color theme="1"/>
        <rFont val="Calibri"/>
        <family val="2"/>
        <charset val="204"/>
        <scheme val="minor"/>
      </rPr>
      <t xml:space="preserve"> (d,e, f)</t>
    </r>
  </si>
  <si>
    <r>
      <t>Type of instrument</t>
    </r>
    <r>
      <rPr>
        <i/>
        <vertAlign val="superscript"/>
        <sz val="12"/>
        <color theme="1"/>
        <rFont val="Calibri"/>
        <family val="2"/>
        <charset val="204"/>
        <scheme val="minor"/>
      </rPr>
      <t xml:space="preserve"> (g)</t>
    </r>
  </si>
  <si>
    <r>
      <t>Status</t>
    </r>
    <r>
      <rPr>
        <i/>
        <vertAlign val="superscript"/>
        <sz val="12"/>
        <color theme="1"/>
        <rFont val="Calibri"/>
        <family val="2"/>
        <charset val="204"/>
        <scheme val="minor"/>
      </rPr>
      <t xml:space="preserve"> (h)</t>
    </r>
  </si>
  <si>
    <r>
      <t xml:space="preserve">Sector(s) affected </t>
    </r>
    <r>
      <rPr>
        <i/>
        <vertAlign val="superscript"/>
        <sz val="12"/>
        <color theme="1"/>
        <rFont val="Calibri"/>
        <family val="2"/>
        <charset val="204"/>
        <scheme val="minor"/>
      </rPr>
      <t>(i)</t>
    </r>
  </si>
  <si>
    <r>
      <t>Estimates of GHG emission reductions (kt CO2 eq)</t>
    </r>
    <r>
      <rPr>
        <i/>
        <vertAlign val="superscript"/>
        <sz val="12"/>
        <rFont val="Calibri"/>
        <family val="2"/>
        <charset val="204"/>
        <scheme val="minor"/>
      </rPr>
      <t xml:space="preserve"> (j, k)</t>
    </r>
    <r>
      <rPr>
        <i/>
        <sz val="12"/>
        <rFont val="Calibri"/>
        <family val="2"/>
        <charset val="204"/>
        <scheme val="minor"/>
      </rPr>
      <t xml:space="preserve"> </t>
    </r>
  </si>
  <si>
    <r>
      <t>Projections of key indicators</t>
    </r>
    <r>
      <rPr>
        <i/>
        <vertAlign val="superscript"/>
        <sz val="12"/>
        <color theme="1"/>
        <rFont val="Calibri"/>
        <family val="2"/>
        <charset val="204"/>
        <scheme val="minor"/>
      </rPr>
      <t>d</t>
    </r>
  </si>
  <si>
    <r>
      <t>Key indicator(s):</t>
    </r>
    <r>
      <rPr>
        <vertAlign val="superscript"/>
        <sz val="12"/>
        <color theme="1"/>
        <rFont val="Calibri"/>
        <family val="2"/>
        <charset val="204"/>
        <scheme val="minor"/>
      </rPr>
      <t>c</t>
    </r>
  </si>
  <si>
    <r>
      <t>Key underlying
assumptions and
parameters:</t>
    </r>
    <r>
      <rPr>
        <vertAlign val="superscript"/>
        <sz val="12"/>
        <color theme="1"/>
        <rFont val="Calibri"/>
        <family val="2"/>
        <charset val="204"/>
        <scheme val="minor"/>
      </rPr>
      <t>c</t>
    </r>
  </si>
  <si>
    <r>
      <t>Projections of key underlying assumptions and
parameters</t>
    </r>
    <r>
      <rPr>
        <i/>
        <vertAlign val="superscript"/>
        <sz val="12"/>
        <color theme="1"/>
        <rFont val="Calibri"/>
        <family val="2"/>
        <charset val="204"/>
        <scheme val="minor"/>
      </rPr>
      <t>d</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</si>
  <si>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to paragraphs</t>
    </r>
  </si>
  <si>
    <r>
      <rPr>
        <vertAlign val="superscript"/>
        <sz val="11"/>
        <color theme="1"/>
        <rFont val="Calibri"/>
        <family val="2"/>
        <charset val="204"/>
        <scheme val="minor"/>
      </rPr>
      <t>c</t>
    </r>
    <r>
      <rPr>
        <sz val="11"/>
        <color theme="1"/>
        <rFont val="Calibri"/>
        <family val="2"/>
        <charset val="204"/>
        <scheme val="minor"/>
      </rPr>
      <t xml:space="preserve"> Information provided by each Party in describing the methodology used to develop the projections should include</t>
    </r>
  </si>
  <si>
    <r>
      <t xml:space="preserve">9. Information on projections of greenhouse gas emissions and removals under a </t>
    </r>
    <r>
      <rPr>
        <b/>
        <sz val="14"/>
        <color theme="9"/>
        <rFont val="Calibri"/>
        <family val="2"/>
        <charset val="204"/>
        <scheme val="minor"/>
      </rPr>
      <t>‘without measures’ scenario</t>
    </r>
    <r>
      <rPr>
        <b/>
        <vertAlign val="superscript"/>
        <sz val="14"/>
        <color theme="9"/>
        <rFont val="Calibri"/>
        <family val="2"/>
        <charset val="204"/>
        <scheme val="minor"/>
      </rPr>
      <t>a,b</t>
    </r>
  </si>
  <si>
    <r>
      <t>Sector</t>
    </r>
    <r>
      <rPr>
        <b/>
        <i/>
        <vertAlign val="superscript"/>
        <sz val="11"/>
        <color theme="1"/>
        <rFont val="Calibri"/>
        <family val="2"/>
        <charset val="204"/>
        <scheme val="minor"/>
      </rPr>
      <t>d</t>
    </r>
  </si>
  <si>
    <r>
      <t xml:space="preserve">8. Information on projections of greenhouse gas emissions and removals under a </t>
    </r>
    <r>
      <rPr>
        <b/>
        <sz val="14"/>
        <color theme="9"/>
        <rFont val="Calibri"/>
        <family val="2"/>
        <charset val="204"/>
        <scheme val="minor"/>
      </rPr>
      <t>‘with additional measures’ scenario</t>
    </r>
    <r>
      <rPr>
        <b/>
        <vertAlign val="superscript"/>
        <sz val="14"/>
        <color theme="9"/>
        <rFont val="Calibri"/>
        <family val="2"/>
        <charset val="204"/>
        <scheme val="minor"/>
      </rPr>
      <t>a,b</t>
    </r>
  </si>
  <si>
    <r>
      <t xml:space="preserve">7. Information on projections of greenhouse gas emissions and removals under a </t>
    </r>
    <r>
      <rPr>
        <b/>
        <sz val="14"/>
        <color theme="9"/>
        <rFont val="Calibri"/>
        <family val="2"/>
        <charset val="204"/>
        <scheme val="minor"/>
      </rPr>
      <t>‘with measures’ scenario</t>
    </r>
    <r>
      <rPr>
        <b/>
        <vertAlign val="superscript"/>
        <sz val="14"/>
        <color theme="9"/>
        <rFont val="Calibri"/>
        <family val="2"/>
        <charset val="204"/>
        <scheme val="minor"/>
      </rPr>
      <t>a,b</t>
    </r>
  </si>
  <si>
    <t xml:space="preserve">If applicable, an indicative multi-year emissions trajectory, 
trajectories or budget for its NDC implementation period (para. 7(a)(i), annex to decision -/CMA.3) </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</si>
  <si>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</si>
  <si>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</si>
  <si>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</si>
  <si>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</si>
  <si>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</si>
  <si>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</si>
  <si>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</si>
  <si>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</si>
  <si>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</si>
  <si>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For metrics in tonnes of CO2 eq. or non-GHG, an annual
emissions balance consistent with chapter III.B (Application of corresponding adjustment), annex, decision -/CMA.3 (para. 23(k)(i), annex to decision -/CMA.3) (as part of para. 77 (d)(ii) of the MPGs)</t>
  </si>
  <si>
    <t>1.  Structured summary: Description of selected indicators</t>
  </si>
  <si>
    <t>2. Structured summary: Definitions needed to understand NDC</t>
  </si>
  <si>
    <t xml:space="preserve">Description  </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</si>
  <si>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</si>
  <si>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 xml:space="preserve">Explain how overestimation or underestimation has been avoided for any projected emissions and removals used for accounting (para. 2(c) of annex II to decision 4/CMA.1) </t>
  </si>
  <si>
    <r>
      <t>For the first NDC under Article 4:</t>
    </r>
    <r>
      <rPr>
        <b/>
        <i/>
        <vertAlign val="superscript"/>
        <sz val="10"/>
        <color theme="1"/>
        <rFont val="Calibri"/>
        <family val="2"/>
        <charset val="204"/>
        <scheme val="minor"/>
      </rPr>
      <t xml:space="preserve">a </t>
    </r>
  </si>
  <si>
    <r>
      <t>For the second and subsequent NDC under Article 4, and optionally for the first NDC under Article 4:</t>
    </r>
    <r>
      <rPr>
        <b/>
        <i/>
        <vertAlign val="superscript"/>
        <sz val="10"/>
        <color theme="1"/>
        <rFont val="Calibri"/>
        <family val="2"/>
        <charset val="204"/>
        <scheme val="minor"/>
      </rPr>
      <t>b</t>
    </r>
  </si>
  <si>
    <r>
      <t>For each NDC under Article 4:</t>
    </r>
    <r>
      <rPr>
        <b/>
        <i/>
        <vertAlign val="superscript"/>
        <sz val="10"/>
        <color theme="1"/>
        <rFont val="Calibri"/>
        <family val="2"/>
        <charset val="204"/>
        <scheme val="minor"/>
      </rPr>
      <t>c</t>
    </r>
  </si>
  <si>
    <r>
      <t>4. Structured summary: Tracking progress made in implementing and achieving the NDC under Article 4 of the Paris Agreement</t>
    </r>
    <r>
      <rPr>
        <b/>
        <i/>
        <vertAlign val="superscript"/>
        <sz val="14"/>
        <rFont val="Calibri"/>
        <family val="2"/>
        <charset val="204"/>
        <scheme val="minor"/>
      </rPr>
      <t>a</t>
    </r>
  </si>
  <si>
    <r>
      <t>Target level</t>
    </r>
    <r>
      <rPr>
        <i/>
        <vertAlign val="superscript"/>
        <sz val="11"/>
        <rFont val="Calibri"/>
        <family val="2"/>
        <charset val="204"/>
        <scheme val="minor"/>
      </rPr>
      <t>b</t>
    </r>
  </si>
  <si>
    <r>
      <rPr>
        <vertAlign val="superscript"/>
        <sz val="10"/>
        <color theme="1"/>
        <rFont val="Calibri"/>
        <family val="2"/>
        <charset val="204"/>
        <scheme val="minor"/>
      </rPr>
      <t xml:space="preserve">a </t>
    </r>
    <r>
      <rPr>
        <sz val="10"/>
        <color theme="1"/>
        <rFont val="Calibri"/>
        <family val="2"/>
        <charset val="204"/>
        <scheme val="minor"/>
      </rPr>
      <t>Each Party shall provide information on actions, policies and measures that support the implementation and achievement of its NDC under Article 4 of the Paris Agreement,</t>
    </r>
  </si>
  <si>
    <r>
      <rPr>
        <vertAlign val="superscript"/>
        <sz val="10"/>
        <color theme="1"/>
        <rFont val="Calibri"/>
        <family val="2"/>
        <charset val="204"/>
        <scheme val="minor"/>
      </rPr>
      <t>b</t>
    </r>
    <r>
      <rPr>
        <sz val="10"/>
        <color theme="1"/>
        <rFont val="Calibri"/>
        <family val="2"/>
        <charset val="204"/>
        <scheme val="minor"/>
      </rPr>
      <t xml:space="preserve"> For each Party with an NDC under Article 4 of the Paris Agreement that consists of mitigation co-benefits resulting from Parties’ adaptation actions and/or economic diversification plans</t>
    </r>
  </si>
  <si>
    <r>
      <rPr>
        <vertAlign val="superscript"/>
        <sz val="10"/>
        <color theme="1"/>
        <rFont val="Calibri"/>
        <family val="2"/>
        <charset val="204"/>
        <scheme val="minor"/>
      </rPr>
      <t>c</t>
    </r>
    <r>
      <rPr>
        <sz val="10"/>
        <color theme="1"/>
        <rFont val="Calibri"/>
        <family val="2"/>
        <charset val="204"/>
        <scheme val="minor"/>
      </rPr>
      <t xml:space="preserve"> Parties may indicate whether a measure is included in the ‘with measures’ projections.</t>
    </r>
  </si>
  <si>
    <r>
      <rPr>
        <vertAlign val="superscript"/>
        <sz val="10"/>
        <color theme="1"/>
        <rFont val="Calibri"/>
        <family val="2"/>
        <charset val="204"/>
        <scheme val="minor"/>
      </rPr>
      <t>d</t>
    </r>
    <r>
      <rPr>
        <sz val="10"/>
        <color theme="1"/>
        <rFont val="Calibri"/>
        <family val="2"/>
        <charset val="204"/>
        <scheme val="minor"/>
      </rPr>
      <t xml:space="preserve"> Additional information may also be provided on the cost of the mitigation actions, non-GHG mitigation benefits, and how the mitigation action interacts with other mitigation actions, as</t>
    </r>
  </si>
  <si>
    <r>
      <rPr>
        <vertAlign val="superscript"/>
        <sz val="10"/>
        <color theme="1"/>
        <rFont val="Calibri"/>
        <family val="2"/>
        <charset val="204"/>
        <scheme val="minor"/>
      </rPr>
      <t>e</t>
    </r>
    <r>
      <rPr>
        <sz val="10"/>
        <color theme="1"/>
        <rFont val="Calibri"/>
        <family val="2"/>
        <charset val="204"/>
        <scheme val="minor"/>
      </rPr>
      <t xml:space="preserve"> Parties should identify actions, policies and measures that influence GHG emissions from international transport (para. 88 of the MPGs).</t>
    </r>
  </si>
  <si>
    <r>
      <rPr>
        <vertAlign val="superscript"/>
        <sz val="10"/>
        <color theme="1"/>
        <rFont val="Calibri"/>
        <family val="2"/>
        <charset val="204"/>
        <scheme val="minor"/>
      </rPr>
      <t>f</t>
    </r>
    <r>
      <rPr>
        <sz val="10"/>
        <color theme="1"/>
        <rFont val="Calibri"/>
        <family val="2"/>
        <charset val="204"/>
        <scheme val="minor"/>
      </rPr>
      <t xml:space="preserve"> Parties should, to the extent possible, provide information about how actions, policies and measures are modifying longer-term trends in GHG emissions and removals (para. 89 of the</t>
    </r>
  </si>
  <si>
    <r>
      <rPr>
        <vertAlign val="superscript"/>
        <sz val="10"/>
        <color theme="1"/>
        <rFont val="Calibri"/>
        <family val="2"/>
        <charset val="204"/>
        <scheme val="minor"/>
      </rPr>
      <t xml:space="preserve">g </t>
    </r>
    <r>
      <rPr>
        <sz val="10"/>
        <color theme="1"/>
        <rFont val="Calibri"/>
        <family val="2"/>
        <charset val="204"/>
        <scheme val="minor"/>
      </rPr>
      <t>Parties shall, to the extent possible, provide information on the types of instrument: regulatory, economic instrument or other (para. 82(d) of the MPGs).</t>
    </r>
  </si>
  <si>
    <r>
      <rPr>
        <vertAlign val="superscript"/>
        <sz val="10"/>
        <color theme="1"/>
        <rFont val="Calibri"/>
        <family val="2"/>
        <charset val="204"/>
        <scheme val="minor"/>
      </rPr>
      <t xml:space="preserve">h </t>
    </r>
    <r>
      <rPr>
        <sz val="10"/>
        <color theme="1"/>
        <rFont val="Calibri"/>
        <family val="2"/>
        <charset val="204"/>
        <scheme val="minor"/>
      </rPr>
      <t>Parties shall, to the extent possible, use the following descriptive terms to report on status of implementation: planned, adopted or implemented (para. 82(e) of the MPGs).</t>
    </r>
  </si>
  <si>
    <r>
      <rPr>
        <vertAlign val="superscript"/>
        <sz val="10"/>
        <color theme="1"/>
        <rFont val="Calibri"/>
        <family val="2"/>
        <charset val="204"/>
        <scheme val="minor"/>
      </rPr>
      <t>i</t>
    </r>
    <r>
      <rPr>
        <sz val="10"/>
        <color theme="1"/>
        <rFont val="Calibri"/>
        <family val="2"/>
        <charset val="204"/>
        <scheme val="minor"/>
      </rPr>
      <t xml:space="preserve"> Parties shall, to the extent possible, provide information on sector(s) affected: energy, transport, industrial processes and product use, agriculture, LULUCF, waste management or other</t>
    </r>
  </si>
  <si>
    <r>
      <rPr>
        <vertAlign val="superscript"/>
        <sz val="10"/>
        <color theme="1"/>
        <rFont val="Calibri"/>
        <family val="2"/>
        <charset val="204"/>
        <scheme val="minor"/>
      </rPr>
      <t>j</t>
    </r>
    <r>
      <rPr>
        <sz val="10"/>
        <color theme="1"/>
        <rFont val="Calibri"/>
        <family val="2"/>
        <charset val="204"/>
        <scheme val="minor"/>
      </rPr>
      <t xml:space="preserve"> Each Party shall provide, to the extent possible, estimates of expected and achieved GHG emission reductions for its actions, policies and measures in the tabular format; those developing</t>
    </r>
  </si>
  <si>
    <r>
      <rPr>
        <vertAlign val="superscript"/>
        <sz val="10"/>
        <color theme="1"/>
        <rFont val="Calibri"/>
        <family val="2"/>
        <charset val="204"/>
        <scheme val="minor"/>
      </rPr>
      <t>k</t>
    </r>
    <r>
      <rPr>
        <sz val="10"/>
        <color theme="1"/>
        <rFont val="Calibri"/>
        <family val="2"/>
        <charset val="204"/>
        <scheme val="minor"/>
      </rPr>
      <t xml:space="preserve"> To the extent available, each Party shall describe the methodologies and assumptions used to estimate the GHG emission reductions or removals due to each action, policy and measure.</t>
    </r>
  </si>
  <si>
    <t>Total annual net GHG emissions</t>
  </si>
  <si>
    <t xml:space="preserve">This is the first time the reference level of the selected indicator is reported, hence there are no updates. The value of the reference level of the selected indicator may be updated in the future if and when methodological improvements to the GHG inventory will take place. </t>
  </si>
  <si>
    <t>The indicator that was selected to track progress to NDC by Kazakhstan is defined in the same unit and metric as the target of the NDC. Hence it can be used directly for tracking progress in implementing and achieving the NDC target without any further calculationas and adjustments.</t>
  </si>
  <si>
    <t>NA</t>
  </si>
  <si>
    <t>{Category}</t>
  </si>
  <si>
    <t>When accounting for its NDC, Kazakhstan fully adhered to provisions of Article 4, paragraphs 13 and 14 that require Parties to promote environmental integrity, transparency, accuracy, completeness, comparability and consistency that are the key principles to which it adhered when preparing its GHG inventory, used to calculate the NDC indicator of progress. Also, Kazakhstan when planning and implementing mitigation actions with respect to anthropogenic emissions and removals, has taken fully into account, methods and guidance under the Convention and is consistent with paragraphs 13–17 and annex II of decision 4/CMA.1, as detailed below.</t>
  </si>
  <si>
    <t>The accounting for anthropogenic emissions and removals is based on the data contained in the 2024 NIR of Kazakhstan, which is compiled in accordance with the 2006 IPCC Guidelines.  The accounting approach is also in accordance with decision 18/CMA.1 because the GHG inventory of Kazakhstan conforms with the provisions of chapter II of the Annex to decision 18/CMA.1.</t>
  </si>
  <si>
    <t>Not applicable. Projected emissions and removals are not used for accounting.</t>
  </si>
  <si>
    <t>The methodology used to assess the implementation and achievement consists of a comparison of the reduction of annual net GHG emissions from the 2024 NIR with regards to the base year emission levels.
Kazakhstan will account for its cooperation with other Parties after it initiates such co-operation in a manner consistent with guidance adopted by the CMA.</t>
  </si>
  <si>
    <t>Progress is tracked by comparing annual total net emissions with total net emissions in the base year. No baseline is constructed.</t>
  </si>
  <si>
    <t>Progress is tracked by comparing total annual net emissions with total net emissions in 1990 base year. No baseline is constructed.</t>
  </si>
  <si>
    <t>100-year time-horizon global warming potential (GWP) values from the IPCC Fifth Assessment Report.</t>
  </si>
  <si>
    <t>Not applicable.</t>
  </si>
  <si>
    <t>Progress arising from the implementation of policies and measures is expressed in a reduction of GHG emissions or increase of GHG removals. The methodology used to assess such progress vary from sector to sector, but overall it is based on the estimation of GHG emissions and removals in the GHG inventory of Kazakhstan.</t>
  </si>
  <si>
    <t>The scope, coverage, definitions, data sources, metrics and approaches are fully consistent between the communicated NDC and its implementation, as described in the BTR.</t>
  </si>
  <si>
    <t>The GHG inventory of Kazakhstan is the primary source for the GHG data used for accounting towards the NDC target. There are no any methodological inconsistencies with the 2024 NIR that contains the most recent GHG inventory data</t>
  </si>
  <si>
    <t>No technical changes related to technical corrections to the GHG inventory were applied to update reference points, reference levels or projections.</t>
  </si>
  <si>
    <t>No technical changes related to improvements in accuracy were applied to update reference points, reference levels or projections.</t>
  </si>
  <si>
    <t>The selected indicator used for tracking progress to the NDC target is economy-wide and covers all categories of anthropogenic emissions and removals corresponding to the NDC.</t>
  </si>
  <si>
    <t>All categories of anthropogenic emissions and removals contained in the national total GHG emissions of 2024 NIR of Kazakhstan are included in the NDC.</t>
  </si>
  <si>
    <t>Kazakhstan will account and report for its cooperation with other Parties in a way that is consistent with the guidance adopted by CMA1 and any further guidance agreed by the CMA, when applicable.</t>
  </si>
  <si>
    <t>Reference point(s), level(s), baseline(s), base year(s) or starting point(s){MPGs, p. 67, 77(a)(i)}                                           1990</t>
  </si>
  <si>
    <t>kt CO₂ equivalent(1)</t>
  </si>
  <si>
    <t>The most recent level of the indicator is 8.49% below the base year level</t>
  </si>
  <si>
    <t>Not applicable</t>
  </si>
  <si>
    <t>Custom footnotes:</t>
  </si>
  <si>
    <t xml:space="preserve">(1) Net GHG emissions in the scope of the NDC </t>
  </si>
  <si>
    <t>(2) To be reported in subsequent BTR</t>
  </si>
  <si>
    <t>(3) Kazakhstan will account and report for its cooperation with other Parties in a way that is consistent with the guidance adopted by CMA1 and any further guidance agreed by the CMA in a subsequent BTR or initial report, when applicable.</t>
  </si>
  <si>
    <t>(2)</t>
  </si>
  <si>
    <t>kt CO₂ equivalent</t>
  </si>
  <si>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</si>
  <si>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t>Increasing the share of natural gas in electricity generation</t>
  </si>
  <si>
    <t>Regulatory</t>
  </si>
  <si>
    <t>СО2, CH4, N2O</t>
  </si>
  <si>
    <t>Ministry of Energy of Kazakhstan</t>
  </si>
  <si>
    <t>(1) Reduction estimated by TIMES model results cumulatively in period of 2023-2040</t>
  </si>
  <si>
    <t>(2) Reduction estimated by assumptions that natural gas substitute coal usage cumulatively in period of 2023-2040</t>
  </si>
  <si>
    <t xml:space="preserve">Documentation box:
</t>
  </si>
  <si>
    <t>Increasing the share of renewable energy sources in electricity generation</t>
  </si>
  <si>
    <t>Planned</t>
  </si>
  <si>
    <t>Construction of a nuclear power plant</t>
  </si>
  <si>
    <t>2024-2025</t>
  </si>
  <si>
    <t>European Bank for Reconstruction and Development and Astana Akimat</t>
  </si>
  <si>
    <t>Development of public transport</t>
  </si>
  <si>
    <t>According to the General Scheme for Gasification of the Republic of Kazakhstan for 2023–2030, conditions are created for sustainable socio-economic development of the Republic of Kazakhstan by increasing the coverage of the population with gas supply by creating a unified gas transportation system to fully meet the need for gas supply using its own gas resources as an environmentally friendly fuel.</t>
  </si>
  <si>
    <t>Increase in the share of commercial gas consumption by the population and public utilities from 21.1% to 24.5% (from 4.09 billion m3 to 8.2 billion m3).</t>
  </si>
  <si>
    <t>2006 IPCC Guidelines</t>
  </si>
  <si>
    <t>Population</t>
  </si>
  <si>
    <t>thousand person</t>
  </si>
  <si>
    <t>Offset projects in forestry</t>
  </si>
  <si>
    <t>GHG emissions reduction</t>
  </si>
  <si>
    <t>Prevention of land degradation and desertification</t>
  </si>
  <si>
    <t xml:space="preserve">State programm to grow 2 billion trees </t>
  </si>
  <si>
    <t>Supporting and subsidizing the collection of scrap metal and glass (circular economy)</t>
  </si>
  <si>
    <t>Reduction in the volumes of primary metal and glass melting. Changes to the environmental code to develop a circular economy</t>
  </si>
  <si>
    <t>Industry</t>
  </si>
  <si>
    <t>CH4, CO2</t>
  </si>
  <si>
    <t>NE</t>
  </si>
  <si>
    <t>Adopted</t>
  </si>
  <si>
    <t>Ministry of Industry and Infrastructure Development</t>
  </si>
  <si>
    <t>GREENHOUSE GAS EMISSIONS AND REMOVALS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</si>
  <si>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</si>
  <si>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</si>
  <si>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</si>
  <si>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</si>
  <si>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</si>
  <si>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</si>
  <si>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</si>
  <si>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</si>
  <si>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</si>
  <si>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</si>
  <si>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</si>
  <si>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</si>
  <si>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</si>
  <si>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</si>
  <si>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</si>
  <si>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</si>
  <si>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</si>
  <si>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</si>
  <si>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</si>
  <si>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</si>
  <si>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</si>
  <si>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</si>
  <si>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</si>
  <si>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</si>
  <si>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</si>
  <si>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</si>
  <si>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</si>
  <si>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</si>
  <si>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</si>
  <si>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</si>
  <si>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</si>
  <si>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</si>
  <si>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</si>
  <si>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Change from 1990 to latest reported year</t>
    <phoneticPr fontId="60"/>
  </si>
  <si>
    <t>Total annual net GHG emissions consistent with the scope and coverage of the NDC expressed in CO2eq.</t>
  </si>
  <si>
    <t/>
  </si>
  <si>
    <t>(%)</t>
  </si>
  <si>
    <t>Unspecified mix of HFCs and PFCs</t>
  </si>
  <si>
    <t>Total (without LULUCF)</t>
  </si>
  <si>
    <t>Total (with LULUCF)</t>
  </si>
  <si>
    <t>Total (without LULUCF, with indirect)</t>
  </si>
  <si>
    <t>Total (with LULUCF, with indirect)</t>
  </si>
  <si>
    <r>
      <rPr>
        <sz val="9"/>
        <rFont val="Times New Roman"/>
        <family val="1"/>
      </rP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</si>
  <si>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rPr>
        <sz val="9"/>
        <rFont val="Times New Roman"/>
        <family val="1"/>
      </rP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</si>
  <si>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</si>
  <si>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rPr>
        <sz val="9"/>
        <rFont val="Times New Roman"/>
        <family val="1"/>
      </rP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</si>
  <si>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rPr>
        <sz val="9"/>
        <rFont val="Times New Roman"/>
        <family val="1"/>
      </rP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</si>
  <si>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rPr>
        <sz val="9"/>
        <rFont val="Times New Roman"/>
        <family val="1"/>
      </rP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</si>
  <si>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rPr>
        <sz val="9"/>
        <rFont val="Times New Roman"/>
        <family val="1"/>
      </rPr>
      <t>SF</t>
    </r>
    <r>
      <rPr>
        <vertAlign val="subscript"/>
        <sz val="9"/>
        <rFont val="Times New Roman"/>
        <family val="1"/>
      </rPr>
      <t>6</t>
    </r>
  </si>
  <si>
    <r>
      <rPr>
        <sz val="9"/>
        <rFont val="Times New Roman"/>
        <family val="1"/>
      </rPr>
      <t>NF</t>
    </r>
    <r>
      <rPr>
        <vertAlign val="subscript"/>
        <sz val="9"/>
        <rFont val="Times New Roman"/>
        <family val="1"/>
      </rPr>
      <t>3</t>
    </r>
  </si>
  <si>
    <t>GREENHOUSE GAS SOURCE AND SINK CATEGORIES</t>
  </si>
  <si>
    <t xml:space="preserve">1.  Energy </t>
  </si>
  <si>
    <t>2.  Industrial processes and product use</t>
  </si>
  <si>
    <t xml:space="preserve">3.  Agriculture </t>
  </si>
  <si>
    <r>
      <rPr>
        <sz val="9"/>
        <rFont val="Times New Roman"/>
        <family val="1"/>
      </rPr>
      <t xml:space="preserve">4.  Land use, land-use change and forestry </t>
    </r>
    <r>
      <rPr>
        <vertAlign val="superscript"/>
        <sz val="9"/>
        <rFont val="Times New Roman"/>
        <family val="1"/>
      </rPr>
      <t>(4)</t>
    </r>
    <r>
      <rPr>
        <sz val="9"/>
        <rFont val="Times New Roman"/>
        <family val="1"/>
      </rPr>
      <t xml:space="preserve"> </t>
    </r>
  </si>
  <si>
    <t xml:space="preserve">5.  Waste </t>
  </si>
  <si>
    <t>6.  Other</t>
  </si>
  <si>
    <r>
      <rPr>
        <b/>
        <sz val="9"/>
        <rFont val="Times New Roman"/>
        <family val="1"/>
      </rPr>
      <t xml:space="preserve">Total (with LULUCF) </t>
    </r>
    <r>
      <rPr>
        <vertAlign val="superscript"/>
        <sz val="9"/>
        <rFont val="Times New Roman"/>
        <family val="1"/>
      </rPr>
      <t>(8)</t>
    </r>
  </si>
  <si>
    <t>NO</t>
  </si>
  <si>
    <t>-</t>
  </si>
  <si>
    <t>Ban on the export of scrap and waste of ferrous and non-ferrous metals</t>
  </si>
  <si>
    <t>2022 Achieved</t>
  </si>
  <si>
    <t>Implemented</t>
  </si>
  <si>
    <t>CO2</t>
  </si>
  <si>
    <t>Ministry of Agriculture</t>
  </si>
  <si>
    <t>180.00</t>
  </si>
  <si>
    <t>Preferential Project Financing Mechanism: Long-Term Lease Financing for Waste Management Projects</t>
  </si>
  <si>
    <t>Economic</t>
  </si>
  <si>
    <t>Incentive measures aimed at reducing the financial burden on these enterprises, stimulating their activities and supporting environmentally friendly technologies</t>
  </si>
  <si>
    <t>Stimulating environmentally friendly technologies and supporting waste recycling businesses through financial benefits</t>
  </si>
  <si>
    <t>Regulatory, economic</t>
  </si>
  <si>
    <t>Ministry of Ecology and Natural Resources
JSC " Zhasyl Damu"
JSC "Industrial Development Fund"</t>
  </si>
  <si>
    <t>Automated information system " Ecoqolday "</t>
  </si>
  <si>
    <t>Measures aimed at improved waste management and increased recycling efficiency</t>
  </si>
  <si>
    <t>Increased demand for secondary raw materials and their processing</t>
  </si>
  <si>
    <t>Informational, economic</t>
  </si>
  <si>
    <t>JSC " Zhasyl Damu"</t>
  </si>
  <si>
    <t>CH₄, CO2, N₂O</t>
  </si>
  <si>
    <t>kt CO2 equivalent</t>
  </si>
  <si>
    <t>%</t>
  </si>
  <si>
    <t xml:space="preserve">Total Cropland area </t>
  </si>
  <si>
    <t xml:space="preserve">Total Cropland area growth rate </t>
  </si>
  <si>
    <t>Forest Cover</t>
  </si>
  <si>
    <t xml:space="preserve">Deforestation rate </t>
  </si>
  <si>
    <t xml:space="preserve">Afforestation/reforestation rate </t>
  </si>
  <si>
    <t xml:space="preserve">Degraded Grazed land </t>
  </si>
  <si>
    <t>Burned Land Area Annual Growth Rate</t>
  </si>
  <si>
    <t>1.5</t>
  </si>
  <si>
    <t>1.2</t>
  </si>
  <si>
    <t xml:space="preserve">Million Hectares </t>
  </si>
  <si>
    <t>22.6</t>
  </si>
  <si>
    <t>22.3</t>
  </si>
  <si>
    <t>22.7</t>
  </si>
  <si>
    <t>23.3</t>
  </si>
  <si>
    <t>1.8</t>
  </si>
  <si>
    <t>1.35</t>
  </si>
  <si>
    <t>1.05</t>
  </si>
  <si>
    <t>Million Hectares</t>
  </si>
  <si>
    <t>13.6</t>
  </si>
  <si>
    <t>13.57</t>
  </si>
  <si>
    <t>13.5</t>
  </si>
  <si>
    <t>13.42</t>
  </si>
  <si>
    <t>13.37</t>
  </si>
  <si>
    <t>0.1</t>
  </si>
  <si>
    <t>0.14</t>
  </si>
  <si>
    <t>0.18</t>
  </si>
  <si>
    <t>0.2</t>
  </si>
  <si>
    <t>0.05</t>
  </si>
  <si>
    <t>0.5</t>
  </si>
  <si>
    <t>0.52</t>
  </si>
  <si>
    <t>0.61</t>
  </si>
  <si>
    <t>0.78</t>
  </si>
  <si>
    <t>1.04</t>
  </si>
  <si>
    <t>1.65</t>
  </si>
  <si>
    <t>2.03</t>
  </si>
  <si>
    <t>2.71</t>
  </si>
  <si>
    <t xml:space="preserve">2030 Expected </t>
  </si>
  <si>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</si>
  <si>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</si>
  <si>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</si>
  <si>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</si>
  <si>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</si>
  <si>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</si>
  <si>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</si>
  <si>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</si>
  <si>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</si>
  <si>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</si>
  <si>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</si>
  <si>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</si>
  <si>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</si>
  <si>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</si>
  <si>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vertAlign val="superscript"/>
        <sz val="12"/>
        <rFont val="Times New Roman"/>
        <family val="1"/>
      </rPr>
      <t>a</t>
    </r>
  </si>
  <si>
    <t>Back to index</t>
  </si>
  <si>
    <t>Description</t>
  </si>
  <si>
    <r>
      <t>Target(s) and description, including target type(s), as applicable</t>
    </r>
    <r>
      <rPr>
        <i/>
        <vertAlign val="superscript"/>
        <sz val="10"/>
        <rFont val="Times New Roman"/>
        <family val="1"/>
      </rPr>
      <t>b, c</t>
    </r>
  </si>
  <si>
    <t>Target year(s) or period(s), and whether they are single-year or multi-year target(s), as applicable</t>
  </si>
  <si>
    <t>2030 is the target year for the NDC and this is a single year target</t>
  </si>
  <si>
    <t>Reference point(s), level(s), baseline(s), base year(s) or starting point(s), and their respective value(s), as applicable</t>
  </si>
  <si>
    <t>Time frame(s) and/or periods for implementation, as applicable</t>
  </si>
  <si>
    <t>NDC covers time frame and period of implementation from 1st January 2021 to 31 December 2030</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</si>
  <si>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</si>
  <si>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</si>
  <si>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r>
      <t>Any updates or clarifications of previously reported information, as applicable</t>
    </r>
    <r>
      <rPr>
        <i/>
        <vertAlign val="superscript"/>
        <sz val="10"/>
        <rFont val="Times New Roman"/>
        <family val="1"/>
      </rPr>
      <t>d</t>
    </r>
  </si>
  <si>
    <t>The information reported in BTR1 provides further clarification on NDC that is required by provisions of decision 18/CMA.1, such as information on LULUCF.</t>
  </si>
  <si>
    <r>
      <t>Notes</t>
    </r>
    <r>
      <rPr>
        <sz val="9"/>
        <color rgb="FF000000"/>
        <rFont val="Times New Roman"/>
        <family val="1"/>
      </rPr>
      <t>:</t>
    </r>
    <r>
      <rPr>
        <i/>
        <sz val="9"/>
        <color rgb="FF000000"/>
        <rFont val="Times New Roman"/>
        <family val="1"/>
      </rPr>
      <t xml:space="preserve"> </t>
    </r>
    <r>
      <rPr>
        <sz val="9"/>
        <color rgb="FF000000"/>
        <rFont val="Times New Roman"/>
        <family val="1"/>
      </rPr>
      <t>This table is to be used by Parties on a voluntary basis.</t>
    </r>
  </si>
  <si>
    <r>
      <t>a</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</si>
  <si>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vertAlign val="superscript"/>
        <sz val="11"/>
        <color rgb="FF000000"/>
        <rFont val="Calibri"/>
        <family val="2"/>
      </rPr>
      <t xml:space="preserve">   </t>
    </r>
    <r>
      <rPr>
        <sz val="11"/>
        <color rgb="FF000000"/>
        <rFont val="Calibri"/>
        <family val="2"/>
      </rPr>
      <t xml:space="preserve"> </t>
    </r>
    <r>
      <rPr>
        <sz val="9"/>
        <color rgb="FF000000"/>
        <rFont val="Times New Roman"/>
        <family val="1"/>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</si>
  <si>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vertAlign val="superscript"/>
        <sz val="11"/>
        <color rgb="FF000000"/>
        <rFont val="Calibri"/>
        <family val="2"/>
      </rPr>
      <t xml:space="preserve">    </t>
    </r>
    <r>
      <rPr>
        <sz val="9"/>
        <color rgb="FF000000"/>
        <rFont val="Times New Roman"/>
        <family val="1"/>
      </rPr>
      <t>Parties with both unconditional and conditional targets in their NDC may add a row to the table to describe conditional targets.</t>
    </r>
  </si>
  <si>
    <r>
      <t>d</t>
    </r>
    <r>
      <rPr>
        <vertAlign val="superscript"/>
        <sz val="11"/>
        <color rgb="FF000000"/>
        <rFont val="Calibri"/>
        <family val="2"/>
      </rPr>
      <t xml:space="preserve"> </t>
    </r>
    <r>
      <rPr>
        <vertAlign val="superscript"/>
        <sz val="9"/>
        <color rgb="FF000000"/>
        <rFont val="Times New Roman"/>
        <family val="1"/>
      </rPr>
      <t xml:space="preserve">   </t>
    </r>
    <r>
      <rPr>
        <sz val="9"/>
        <color rgb="FF000000"/>
        <rFont val="Times New Roman"/>
        <family val="1"/>
      </rPr>
      <t>For example: recalculation of previously reported inventory data, or greater detail on methodologies or use of cooperative approaches (para. 64(g) of the MPGs).</t>
    </r>
  </si>
  <si>
    <t>Table 5</t>
  </si>
  <si>
    <t>Table 6</t>
  </si>
  <si>
    <t>Table 7</t>
  </si>
  <si>
    <t>Table 8</t>
  </si>
  <si>
    <t>Table 9</t>
  </si>
  <si>
    <t>Table 10</t>
  </si>
  <si>
    <t>Table 11</t>
  </si>
  <si>
    <t>Mitigation policies and measures, actions and plans, including those with mitigation co-benefits resulting from adaptation actions and economic diversification plans, related to implementing and achieving</t>
  </si>
  <si>
    <t>Summary of greenhouse gas emissions and removals in accordance with the common reporting table 10 emission trends –summary</t>
  </si>
  <si>
    <t>Information on projections of greenhouse gas emissions and removals under a ‘with measures’ scenario</t>
  </si>
  <si>
    <t>Information on projections of greenhouse gas emissions and removals under a ‘with additional measures’ scenario</t>
  </si>
  <si>
    <t>Information on projections of greenhouse gas emissions and removals under a ‘without measures’ scenario</t>
  </si>
  <si>
    <t>Projections of key indicators</t>
  </si>
  <si>
    <t>Key underlying assumptions and parameters used for projections</t>
  </si>
  <si>
    <t>Total annual net GHG emissions are the key parameter used for tracking progress in implementing and achieving the NDC. The 2024 NIR that contains GHG inventory data of Kazakhstan is the data source used. Details on assumptions, definitions and models used for determining total annual net GHG emissions can be found in the 2024 NIR.</t>
  </si>
  <si>
    <t>The NDC of Kazakhstan does not consist of mitigation co-benefits of adaptation actions and/or economic diversification plans. Hence these co-benefits were not accounted for, and no related methodologies were used.</t>
  </si>
  <si>
    <t>Base year for Kazakhstan is 1990 and the value of the total GHG emissions of Kazakhstan including LULUCF is equal to 385,736.5 kt CO2eq.
The base year value of total GHG emissions of Kazakhstan, including LULUCF will be updated when new data become available or there will be an update of methodology for GHG inventory.</t>
  </si>
  <si>
    <t>annual rate, %</t>
  </si>
  <si>
    <t>Installed capacity of nuclear power plant: 
1.2 GW by 2035 and 1.2 GW by 2040</t>
  </si>
  <si>
    <t>The shift to electric mobility will significantly reduce greenhouse gas emissions, tail pipe air pollutant emissions and noise pollution. The loan will finance the procurement of up to 100 electric buses</t>
  </si>
  <si>
    <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10"/>
        <color theme="1"/>
        <rFont val="Calibri"/>
        <family val="2"/>
        <charset val="204"/>
        <scheme val="minor"/>
      </rPr>
      <t>{MPGs, p. 77(d)}</t>
    </r>
  </si>
  <si>
    <t>Regulatory,               economic</t>
  </si>
  <si>
    <t>Waste management</t>
  </si>
  <si>
    <t>GDP growth rate</t>
  </si>
  <si>
    <t>Sectors covered are those contained in Annex I to decision 5/CMA.3, namely Energy, Industrial Processes and Product Use (IPPU), Agriculture, Land Use, Land Use Change and Forestry (LULUCF) and Waste.
Gases covered are carbon dioxide (СО2), methane (СН4), nitrous oxide (N2O), hydrofluorocarbons (HFCs), perfluorocarbons (PFCs), sulphur hexafluoride (SF6).
The NDC target included LULUCF categories and pools are as defined in decision 5/CMA.3.</t>
  </si>
  <si>
    <t>NDC envisages unconditional economy-wide emission target of reduction of total GHG emissions by 15% by the end of 2030 compared to the 1990 levels and conditional target of reduction of total GHG emissions by 25% by the end of 2030 compared to 1990 levels. The conditional target could be achieved when substantial additional investments from international sources are provided together with substantial support on a grant basis; an access to an international mechanism for technology transfer is granted; co-financing of and participation in international research projects is provided for research in the area of low carbon technologies and initiatives with a view to increase the national research capacity.</t>
  </si>
  <si>
    <t>Methodological changes and technical updates made compared to the previosu GHG inventory submission are reported in the chapter entitled ‘recalculations and improvements’ of the 2024 NIR of Kazakhstan.</t>
  </si>
  <si>
    <t>The ban on the export pf scrap and waste ferroud and non-ferrous metals is part of the development of a circular economy in Kazakhstan</t>
  </si>
  <si>
    <t>Base year: 1990
Reference point (base year emissions): 385,736.5 kt CO2eq.
The base year emissions are the total national greenhouse gas emissions, including LULUCF, in the 2024 national greenhouse gas inventory submission</t>
  </si>
  <si>
    <t>Note: Projected values of the key indicators are those from the 'total net annual GHG emissions in accordance with 'with measures' scenario</t>
  </si>
  <si>
    <t>Total annual net GHG emissions correspond to the total annual emissions and removals reported in CO2 equivalents in the latest GHG inventory of Kazakhstan. The totals comprise all sectors and gases listed in the table entitled.                                                                                                                                                                   Unconditional target: 15% reduction from base year                                                                                         Conditional target: 25% reduction from base year.</t>
  </si>
  <si>
    <t>The Concept for transition to a "green economy" sets the goal of increasing the share of natural gas in electricity generation. The development of electricity generation based on natural gas is envisaged in the "Action Plan for the Development of the Electric Power Industry until 2035" adopted on February 20, 2024. This plan provides for the construction of combined-cycle plants in the cities of Almaty, Aktau, Atyrau, Shymkent, Taraz, Aktobe, Kyzylorda and Uralsk.</t>
  </si>
  <si>
    <t>The share of electricity based on natural gas in the total electricity output:
 20% in 2020, 25% in 2030. 5350 MW by 2035 according to the Electric Power Industry Development Plan until 2035</t>
  </si>
  <si>
    <t>The goal is set out in the Concept for transition to a "green economy". The development of electricity generation based on renewable energy is envisaged in the "Action Plan for the Development of the Electric Power Industry until 2035" adopted on February 20, 2024. This plan provides for the construction of wind power plants with energy storage systems with a total capacity of 5,000 MW by 2028, the construction of wind power plants through auctions with a total capacity of 4,000 MW by 2030, the construction of solar power plants through auctions with a total capacity of 500 MW by 2029, and the construction of hydroelectric power plants and biogas plants by 2035.</t>
  </si>
  <si>
    <t xml:space="preserve">The share of electricity based on renewables and alternaive energy sources in the total electricity outcput: 
3% in 2020, 6% by 2025, 15% by 2030, 24.4% by 2035 and up to 50% by 2050. 9700 MW by 2035 according to the Electric Power Industry Development Plan until 2035
</t>
  </si>
  <si>
    <t>The issue of building a nuclear power plant was decided on October 6, 2024 following the results of the Referendum on the use of nuclear energy in Kazakhstan. According to the voting results, 71.12% voted for, 26.15% against. The turnout of Kazakhstanis in the referendum was 63.66 percent of the number of citizens entitled to participate in the referendum</t>
  </si>
  <si>
    <t>The Astana E-Mobility project is a continuation of the EBRD's involvement in supporting improvement of the public transport in Astana. It will facilitate the introduction of electric buses and the expansion of public electric mobility in the city.</t>
  </si>
  <si>
    <t>Natural gas supply to households in Astana, Akmola and Karaganda regions</t>
  </si>
  <si>
    <t>Support for livestock breeding</t>
  </si>
  <si>
    <t>Rational approaches to the use of cultivated land</t>
  </si>
  <si>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</si>
  <si>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</si>
  <si>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</si>
  <si>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</si>
  <si>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</si>
  <si>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</si>
  <si>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</si>
  <si>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</si>
  <si>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r>
      <rPr>
        <b/>
        <sz val="9"/>
        <rFont val="Times New Roman"/>
        <family val="1"/>
      </rPr>
      <t xml:space="preserve">Base year </t>
    </r>
    <r>
      <rPr>
        <vertAlign val="superscript"/>
        <sz val="9"/>
        <rFont val="Times New Roman"/>
        <family val="1"/>
      </rPr>
      <t>(2)</t>
    </r>
  </si>
  <si>
    <r>
      <rPr>
        <b/>
        <sz val="9"/>
        <rFont val="Times New Roman"/>
        <family val="1"/>
      </rPr>
      <t>CO</t>
    </r>
    <r>
      <rPr>
        <b/>
        <vertAlign val="subscript"/>
        <sz val="9"/>
        <rFont val="Times New Roman"/>
        <family val="1"/>
      </rPr>
      <t>2</t>
    </r>
    <r>
      <rPr>
        <b/>
        <sz val="9"/>
        <rFont val="Times New Roman"/>
        <family val="1"/>
      </rPr>
      <t xml:space="preserve"> equivalents (kt) </t>
    </r>
    <r>
      <rPr>
        <vertAlign val="superscript"/>
        <sz val="9"/>
        <rFont val="Times New Roman"/>
        <family val="1"/>
      </rPr>
      <t>(3)</t>
    </r>
  </si>
  <si>
    <r>
      <rPr>
        <b/>
        <sz val="9"/>
        <rFont val="Times New Roman"/>
        <family val="1"/>
      </rPr>
      <t xml:space="preserve">Reference year/period for NDC </t>
    </r>
    <r>
      <rPr>
        <vertAlign val="superscript"/>
        <sz val="9"/>
        <rFont val="Times New Roman"/>
        <family val="1"/>
      </rPr>
      <t>(1)</t>
    </r>
  </si>
  <si>
    <t>Annual total net GHG emissions*</t>
  </si>
  <si>
    <r>
      <t xml:space="preserve">* Currently, Kazakhstan tracks progress towards its unconditional target, which is 15% reduction of its total net annual GHG emissions by 2030 compared to 1990 levels                                                                                                                                                                                                                                                                           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10"/>
        <rFont val="Calibri"/>
        <family val="2"/>
        <charset val="204"/>
        <scheme val="minor"/>
      </rPr>
      <t>a</t>
    </r>
    <r>
      <rPr>
        <sz val="10"/>
        <rFont val="Calibri"/>
        <family val="2"/>
        <charset val="204"/>
        <scheme val="minor"/>
      </rPr>
      <t xml:space="preserve">This table could be used for each NDC target in case Party’s NDC has multiple targets.
</t>
    </r>
    <r>
      <rPr>
        <vertAlign val="superscript"/>
        <sz val="10"/>
        <rFont val="Calibri"/>
        <family val="2"/>
        <charset val="204"/>
        <scheme val="minor"/>
      </rPr>
      <t>b</t>
    </r>
    <r>
      <rPr>
        <sz val="10"/>
        <rFont val="Calibri"/>
        <family val="2"/>
        <charset val="204"/>
        <scheme val="minor"/>
      </rPr>
      <t xml:space="preserve"> Parties may provide information on conditional targets in a documentation box with references to the relevant page in their biennial transparency report.</t>
    </r>
  </si>
  <si>
    <t xml:space="preserve">Set of measures to implement the requirements for best available techniques (BAT) "Production of cement, lime, inorganic chemicals" from the Environmental Code 
</t>
  </si>
  <si>
    <t xml:space="preserve">Update of the  Environmental Code in March 2024 with requirements on the use of the BAT to reduce carbon emissions in the IPPU 
</t>
  </si>
  <si>
    <t>Establishment of JSC Industrial Development Fund (IDF)</t>
  </si>
  <si>
    <t>Measures aimed at supporting domestic enterprises and developing the manufacturing industry by financing projects that have a socio-economic effect, attracting external and internal investment into the country's economy</t>
  </si>
  <si>
    <t>Development of industrial potential of the national economy and support of domestic producers</t>
  </si>
  <si>
    <t>Institutional, economic, technological</t>
  </si>
  <si>
    <t>Ministry of Industry and Construction of the Republic of Kazakhstan</t>
  </si>
  <si>
    <t xml:space="preserve">Supporting livestock breeding to increase productivity that in turn could allow to reduce livestock population and GHG emissions
</t>
  </si>
  <si>
    <t xml:space="preserve">Rational use of pastures to reduce pressure and subsequent degradation of pastures
</t>
  </si>
  <si>
    <t>Offset projects produce offset units for participants of Kazakhstan Emission Trading System that are additional to the existing offsets</t>
  </si>
  <si>
    <t xml:space="preserve">Fertilizer subsidies for cropland to help mitigate the depletion of soil humus.
</t>
  </si>
  <si>
    <t>Rational use of arable land</t>
  </si>
  <si>
    <t>Rational use of arable land to encourage farmers to comply with relevant agricultural technology requirements such as crop rotation to stop humus reduction in arable soil.</t>
  </si>
  <si>
    <t>Measures aimed at reducing environmental impacts through improved waste management practices, reducing GHG emissions, stimulating innovation in recycling and disposal, creating jobs, and supporting environmentally friendly technologies.</t>
  </si>
  <si>
    <t>Economic, regulatory</t>
  </si>
  <si>
    <t>JSC "Industrial Development Fund",      Ministry of Ecology and Natural Resources,
Landfill operators</t>
  </si>
  <si>
    <t xml:space="preserve">Support and stimulation of projects in the field of waste management, creation and modernization of infrastructure for processing, recycling and safe storage of waste
</t>
  </si>
  <si>
    <t>Environmental Code: requirements for landfill operators to reduce methane emissions and use national standards for leachate and landfill gas systems,, mandatory separate collection, recycling, and disposal of waste, and a ban on the disposal of paper, plastic, and food waste</t>
  </si>
  <si>
    <t>Measures to reduce greenhouse gas emissions include decreasing the volume of biodegradable and recyclable waste sent to landfills, increasing recycling rates, and installing systems for collecting and utilizing landfill gas.</t>
  </si>
  <si>
    <t>Reducing methane and greenhouse gas emissions from landfills, decreasing the amount of waste sent to landfills, increasing recycling and reuse, and implementing national standards for systems to collect and treat leachate and landfill gas.</t>
  </si>
  <si>
    <t>Ministry of Ecology and Natural Resources, Landfill operators</t>
  </si>
  <si>
    <t xml:space="preserve">Environmental Code: introduction of tax breaks and subsidies for enterprises engaged in waste processing and disposal </t>
  </si>
  <si>
    <t>Kazakhstan plans to achieve its unconditional target of economy-wide emission reduction using domestic measures. It keeps the possibility to engage in Article 6 mechanisms under the Paris Agreement and other international mechanisms, including by linking its national emissions trading system.</t>
  </si>
  <si>
    <t>Kazakhstan has an economy-wide absolute emission reduction target that covers all emissions by sources and removals by sinks. Its accounting approach to and methodology used for the indicator that it has selected, namely total annual net GHG emissions is fully consistent with the IPCC methodology. Further detail is reflected in its 2024 NIR that was prepared in accordance with requirements of decision 18/CMA.1 and the 2006 IPCC guidelines. Additional information in the existing methods and guidance under the Convention are taken into account, as described below.</t>
  </si>
  <si>
    <t>The GHG data used for accounting of the selected indicator to track the NDC progress of Kazakhstan is based on the national GHG inventory contained in the 2024 NIR. The accounting methodology involves calculating net emissions by substracting GHG removals (e.g. through carbon sequestration in forests and soils) from total GHG emissions, which is consistent with the methodologies used in the GHG inventory of Kazakhstan.</t>
  </si>
  <si>
    <t>To account for emissions and removals from harvested wood products it uses the stock-change approach based on national data on wood removals and the estimated lifespan of harvested products, following the IPCC recommendations for timber and wood products carbon stock changes.</t>
  </si>
  <si>
    <t>To address emissions and subsequent removals from natural disturbances on managed lands it uses the IPCC Guidelines for accounting for emissions from natural disturbances such as draughts, wildfires, and pest outbreaks. This approach includes assessing the impact of such disturbances on carbon stock in both, croplands and grasslands, adjusting for soil carbon changes and vegetation cover.</t>
  </si>
  <si>
    <t>To address the effects of age-class structure in forests it uses forest inventory data to model carbon sequestration and emissions based on the age distribution of forest stands, applying the age class approach in accordance with the 2006 IPCC Guidelines.</t>
  </si>
  <si>
    <t>Kazakhstan has drawn on existing methods and guidance established under the Convention in accounting for its NDC target that fully corresponds to the provisions of Article 4.4 of the Paris Agreement that establises that developed countries should continue taking the lead by undertaking economy-wide absolute emission reducion targets and encourages developing countries to move over time to economy-wide emission reduction or limitation targets.</t>
  </si>
  <si>
    <t>GHG emissions and removals from the 2024 NIR of Kazakhstan are used for tracking the total annual net GHG emission reductions. Emissions and removals are reported in line with IPCC Guidelines, with the aim of neither over- nor underestimating GHG emissions.
For cooperative approaches under Article 6, corresponding adjustments will be made when Kazakhstan engages in Article 6 activities in a way that is consistent with guidance adopted by the CMA.</t>
  </si>
  <si>
    <t>The scope of the NDC of Kazakhstan covers all sectors listed in decision 18/CMA.1 and categories of emissions and removals reported in the GHG inventory, in line with IPCC Guidelines.</t>
  </si>
  <si>
    <t>Ministry of Ecology and Natural Resources</t>
  </si>
  <si>
    <t>Afforestation (2 billion trees)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</si>
</sst>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 #,##0.00_-;_-* &quot;-&quot;??_-;_-@_-"/>
    <numFmt numFmtId="165" formatCode="0.0%"/>
    <numFmt numFmtId="166" formatCode="_-* #,##0_-;\-* #,##0_-;_-* &quot;-&quot;??_-;_-@_-"/>
    <numFmt numFmtId="167" formatCode="0.000"/>
    <numFmt numFmtId="168" formatCode="0.0"/>
    <numFmt numFmtId="169" formatCode="_ * #,##0_ ;_ * \-#,##0_ ;_ * &quot;-&quot;_ ;_ @_ "/>
    <numFmt numFmtId="170" formatCode="_(* #,##0.000_);_(* \(#,##0.000\);_(* &quot;-&quot;??_);_(@_)"/>
    <numFmt numFmtId="171" formatCode="_(* #,##0.0000_);_(* \(#,##0.0000\);_(* &quot;-&quot;??_);_(@_)"/>
    <numFmt numFmtId="172" formatCode="_(* #,##0_);_(* \(#,##0\);_(* &quot;-&quot;??_);_(@_)"/>
  </numFmts>
  <fonts count="94" x14ac:knownFonts="1">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Times New Roman"/>
      <family val="1"/>
      <charset val="204"/>
    </font>
    <font>
      <sz val="9"/>
      <color theme="1"/>
      <name val="Calibri"/>
      <family val="2"/>
      <charset val="204"/>
      <scheme val="minor"/>
    </font>
    <font>
      <sz val="11"/>
      <color theme="1"/>
      <name val="Calibri"/>
      <family val="2"/>
      <scheme val="minor"/>
    </font>
    <font>
      <vertAlign val="superscript"/>
      <sz val="9"/>
      <color theme="1"/>
      <name val="Times New Roman"/>
      <family val="1"/>
      <charset val="204"/>
    </font>
    <font>
      <i/>
      <sz val="11"/>
      <color theme="1"/>
      <name val="Calibri"/>
      <family val="2"/>
      <charset val="204"/>
      <scheme val="minor"/>
    </font>
    <font>
      <i/>
      <vertAlign val="superscript"/>
      <sz val="11"/>
      <color theme="1"/>
      <name val="Calibri"/>
      <family val="2"/>
      <charset val="204"/>
      <scheme val="minor"/>
    </font>
    <font>
      <b/>
      <i/>
      <sz val="11"/>
      <color theme="1"/>
      <name val="Calibri"/>
      <family val="2"/>
      <charset val="204"/>
      <scheme val="minor"/>
    </font>
    <font>
      <b/>
      <sz val="11"/>
      <color theme="1"/>
      <name val="Calibri"/>
      <family val="2"/>
      <charset val="204"/>
      <scheme val="minor"/>
    </font>
    <font>
      <vertAlign val="superscript"/>
      <sz val="11"/>
      <color theme="1"/>
      <name val="Calibri"/>
      <family val="2"/>
      <charset val="204"/>
      <scheme val="minor"/>
    </font>
    <font>
      <i/>
      <sz val="9"/>
      <color theme="1"/>
      <name val="Calibri"/>
      <family val="2"/>
      <charset val="204"/>
      <scheme val="minor"/>
    </font>
    <font>
      <i/>
      <vertAlign val="superscript"/>
      <sz val="9"/>
      <color theme="1"/>
      <name val="Calibri"/>
      <family val="2"/>
      <charset val="204"/>
      <scheme val="minor"/>
    </font>
    <font>
      <vertAlign val="superscript"/>
      <sz val="9"/>
      <color theme="1"/>
      <name val="Calibri"/>
      <family val="2"/>
      <charset val="204"/>
      <scheme val="minor"/>
    </font>
    <font>
      <b/>
      <sz val="10"/>
      <color theme="1"/>
      <name val="Calibri"/>
      <family val="2"/>
      <charset val="204"/>
      <scheme val="minor"/>
    </font>
    <font>
      <b/>
      <sz val="12"/>
      <color theme="1"/>
      <name val="Calibri"/>
      <family val="2"/>
      <charset val="204"/>
      <scheme val="minor"/>
    </font>
    <font>
      <b/>
      <sz val="14"/>
      <color theme="1"/>
      <name val="Calibri"/>
      <family val="2"/>
      <charset val="204"/>
      <scheme val="minor"/>
    </font>
    <font>
      <b/>
      <sz val="14"/>
      <name val="Calibri"/>
      <family val="2"/>
      <charset val="204"/>
      <scheme val="minor"/>
    </font>
    <font>
      <sz val="10"/>
      <color theme="1"/>
      <name val="Calibri"/>
      <family val="2"/>
      <charset val="204"/>
      <scheme val="minor"/>
    </font>
    <font>
      <i/>
      <vertAlign val="superscript"/>
      <sz val="10"/>
      <color theme="1"/>
      <name val="Calibri"/>
      <family val="2"/>
      <charset val="204"/>
      <scheme val="minor"/>
    </font>
    <font>
      <b/>
      <sz val="14"/>
      <color theme="9"/>
      <name val="Calibri"/>
      <family val="2"/>
      <charset val="204"/>
      <scheme val="minor"/>
    </font>
    <font>
      <b/>
      <sz val="10"/>
      <name val="Calibri"/>
      <family val="2"/>
      <charset val="204"/>
      <scheme val="minor"/>
    </font>
    <font>
      <i/>
      <sz val="10"/>
      <color theme="1"/>
      <name val="Calibri"/>
      <family val="2"/>
      <charset val="204"/>
      <scheme val="minor"/>
    </font>
    <font>
      <vertAlign val="superscript"/>
      <sz val="10"/>
      <color theme="1"/>
      <name val="Calibri"/>
      <family val="2"/>
      <charset val="204"/>
      <scheme val="minor"/>
    </font>
    <font>
      <sz val="10"/>
      <name val="Calibri"/>
      <family val="2"/>
      <charset val="204"/>
      <scheme val="minor"/>
    </font>
    <font>
      <i/>
      <sz val="10"/>
      <name val="Calibri"/>
      <family val="2"/>
      <charset val="204"/>
      <scheme val="minor"/>
    </font>
    <font>
      <sz val="10"/>
      <color theme="6" tint="-0.249977111117893"/>
      <name val="Calibri"/>
      <family val="2"/>
      <charset val="204"/>
      <scheme val="minor"/>
    </font>
    <font>
      <u/>
      <sz val="10"/>
      <color theme="6" tint="-0.249977111117893"/>
      <name val="Calibri"/>
      <family val="2"/>
      <charset val="204"/>
      <scheme val="minor"/>
    </font>
    <font>
      <vertAlign val="superscript"/>
      <sz val="10"/>
      <name val="Calibri"/>
      <family val="2"/>
      <charset val="204"/>
      <scheme val="minor"/>
    </font>
    <font>
      <sz val="11"/>
      <name val="Calibri"/>
      <family val="2"/>
      <charset val="204"/>
      <scheme val="minor"/>
    </font>
    <font>
      <i/>
      <sz val="12"/>
      <name val="Calibri"/>
      <family val="2"/>
      <charset val="204"/>
      <scheme val="minor"/>
    </font>
    <font>
      <b/>
      <i/>
      <vertAlign val="superscript"/>
      <sz val="11"/>
      <name val="Calibri"/>
      <family val="2"/>
      <charset val="204"/>
      <scheme val="minor"/>
    </font>
    <font>
      <b/>
      <i/>
      <vertAlign val="superscript"/>
      <sz val="14"/>
      <name val="Calibri"/>
      <family val="2"/>
      <charset val="204"/>
      <scheme val="minor"/>
    </font>
    <font>
      <b/>
      <i/>
      <sz val="11"/>
      <name val="Calibri"/>
      <family val="2"/>
      <charset val="204"/>
      <scheme val="minor"/>
    </font>
    <font>
      <b/>
      <vertAlign val="superscript"/>
      <sz val="14"/>
      <color theme="1"/>
      <name val="Calibri"/>
      <family val="2"/>
      <charset val="204"/>
      <scheme val="minor"/>
    </font>
    <font>
      <sz val="12"/>
      <color theme="1"/>
      <name val="Calibri"/>
      <family val="2"/>
      <charset val="204"/>
      <scheme val="minor"/>
    </font>
    <font>
      <i/>
      <sz val="12"/>
      <color theme="1"/>
      <name val="Calibri"/>
      <family val="2"/>
      <charset val="204"/>
      <scheme val="minor"/>
    </font>
    <font>
      <i/>
      <vertAlign val="superscript"/>
      <sz val="12"/>
      <color theme="1"/>
      <name val="Calibri"/>
      <family val="2"/>
      <charset val="204"/>
      <scheme val="minor"/>
    </font>
    <font>
      <sz val="14"/>
      <color theme="1"/>
      <name val="Calibri"/>
      <family val="2"/>
      <charset val="204"/>
      <scheme val="minor"/>
    </font>
    <font>
      <i/>
      <vertAlign val="superscript"/>
      <sz val="12"/>
      <name val="Calibri"/>
      <family val="2"/>
      <charset val="204"/>
      <scheme val="minor"/>
    </font>
    <font>
      <vertAlign val="superscript"/>
      <sz val="12"/>
      <color theme="1"/>
      <name val="Calibri"/>
      <family val="2"/>
      <charset val="204"/>
      <scheme val="minor"/>
    </font>
    <font>
      <b/>
      <vertAlign val="superscript"/>
      <sz val="14"/>
      <color theme="9"/>
      <name val="Calibri"/>
      <family val="2"/>
      <charset val="204"/>
      <scheme val="minor"/>
    </font>
    <font>
      <b/>
      <i/>
      <vertAlign val="superscript"/>
      <sz val="11"/>
      <color theme="1"/>
      <name val="Calibri"/>
      <family val="2"/>
      <charset val="204"/>
      <scheme val="minor"/>
    </font>
    <font>
      <b/>
      <i/>
      <sz val="10"/>
      <color theme="1"/>
      <name val="Calibri"/>
      <family val="2"/>
      <charset val="204"/>
      <scheme val="minor"/>
    </font>
    <font>
      <b/>
      <i/>
      <vertAlign val="superscript"/>
      <sz val="10"/>
      <color theme="1"/>
      <name val="Calibri"/>
      <family val="2"/>
      <charset val="204"/>
      <scheme val="minor"/>
    </font>
    <font>
      <b/>
      <i/>
      <sz val="10"/>
      <name val="Calibri"/>
      <family val="2"/>
      <charset val="204"/>
      <scheme val="minor"/>
    </font>
    <font>
      <b/>
      <sz val="11"/>
      <name val="Calibri"/>
      <family val="2"/>
      <charset val="204"/>
      <scheme val="minor"/>
    </font>
    <font>
      <i/>
      <sz val="11"/>
      <name val="Calibri"/>
      <family val="2"/>
      <charset val="204"/>
      <scheme val="minor"/>
    </font>
    <font>
      <i/>
      <vertAlign val="superscript"/>
      <sz val="11"/>
      <name val="Calibri"/>
      <family val="2"/>
      <charset val="204"/>
      <scheme val="minor"/>
    </font>
    <font>
      <b/>
      <i/>
      <sz val="11"/>
      <name val="Calibri"/>
      <family val="2"/>
      <scheme val="minor"/>
    </font>
    <font>
      <b/>
      <sz val="11"/>
      <name val="Calibri"/>
      <family val="2"/>
      <scheme val="minor"/>
    </font>
    <font>
      <b/>
      <sz val="9"/>
      <color theme="1"/>
      <name val="Times New Roman"/>
      <family val="1"/>
    </font>
    <font>
      <i/>
      <sz val="9"/>
      <name val="Times New Roman"/>
      <family val="1"/>
    </font>
    <font>
      <i/>
      <sz val="11"/>
      <color theme="1"/>
      <name val="Times New Roman"/>
      <family val="1"/>
    </font>
    <font>
      <sz val="11"/>
      <color theme="1"/>
      <name val="Calibri"/>
      <family val="2"/>
      <charset val="204"/>
      <scheme val="minor"/>
    </font>
    <font>
      <b/>
      <sz val="11"/>
      <color rgb="FFFA7D00"/>
      <name val="Calibri"/>
      <family val="2"/>
      <scheme val="minor"/>
    </font>
    <font>
      <b/>
      <sz val="11"/>
      <color theme="1"/>
      <name val="Calibri"/>
      <family val="2"/>
      <scheme val="minor"/>
    </font>
    <font>
      <sz val="9"/>
      <color rgb="FF000000"/>
      <name val="Times New Roman"/>
      <family val="1"/>
    </font>
    <font>
      <b/>
      <sz val="9"/>
      <name val="Times New Roman"/>
      <family val="1"/>
    </font>
    <font>
      <vertAlign val="superscript"/>
      <sz val="9"/>
      <name val="Times New Roman"/>
      <family val="1"/>
    </font>
    <font>
      <i/>
      <sz val="11"/>
      <color theme="1"/>
      <name val="Calibri"/>
      <family val="2"/>
      <scheme val="minor"/>
    </font>
    <font>
      <b/>
      <sz val="9"/>
      <name val="Times New Roman"/>
      <family val="1"/>
    </font>
    <font>
      <b/>
      <vertAlign val="subscript"/>
      <sz val="9"/>
      <name val="Times New Roman"/>
      <family val="1"/>
    </font>
    <font>
      <sz val="9"/>
      <color theme="1"/>
      <name val="Times New Roman"/>
      <family val="1"/>
    </font>
    <font>
      <sz val="9"/>
      <name val="Times New Roman"/>
      <family val="1"/>
    </font>
    <font>
      <vertAlign val="subscript"/>
      <sz val="9"/>
      <name val="Times New Roman"/>
      <family val="1"/>
    </font>
    <font>
      <sz val="11"/>
      <color rgb="FFFF0000"/>
      <name val="Calibri"/>
      <family val="2"/>
      <scheme val="minor"/>
    </font>
    <font>
      <u/>
      <sz val="10"/>
      <color theme="10"/>
      <name val="Times New Roman"/>
      <family val="1"/>
    </font>
    <font>
      <b/>
      <sz val="14"/>
      <color theme="1"/>
      <name val="Times New Roman"/>
      <family val="1"/>
    </font>
    <font>
      <u/>
      <sz val="9"/>
      <color theme="10"/>
      <name val="Times New Roman"/>
      <family val="1"/>
    </font>
    <font>
      <sz val="9"/>
      <color rgb="FF0070C0"/>
      <name val="Times New Roman"/>
      <family val="1"/>
    </font>
    <font>
      <b/>
      <sz val="12"/>
      <color theme="1"/>
      <name val="Times New Roman"/>
      <family val="1"/>
    </font>
    <font>
      <b/>
      <i/>
      <vertAlign val="superscript"/>
      <sz val="12"/>
      <name val="Times New Roman"/>
      <family val="1"/>
    </font>
    <font>
      <sz val="9"/>
      <color rgb="FFFF0000"/>
      <name val="Times New Roman"/>
      <family val="1"/>
    </font>
    <font>
      <i/>
      <sz val="9"/>
      <color theme="1"/>
      <name val="Times New Roman"/>
      <family val="1"/>
    </font>
    <font>
      <sz val="10"/>
      <color theme="1"/>
      <name val="Times New Roman"/>
      <family val="1"/>
    </font>
    <font>
      <i/>
      <vertAlign val="superscript"/>
      <sz val="10"/>
      <name val="Times New Roman"/>
      <family val="1"/>
    </font>
    <font>
      <i/>
      <sz val="9"/>
      <color theme="0" tint="-0.499984740745262"/>
      <name val="Times New Roman"/>
      <family val="1"/>
    </font>
    <font>
      <i/>
      <sz val="9"/>
      <color rgb="FF000000"/>
      <name val="Times New Roman"/>
      <family val="1"/>
    </font>
    <font>
      <i/>
      <vertAlign val="superscript"/>
      <sz val="11"/>
      <color rgb="FF000000"/>
      <name val="Calibri"/>
      <family val="2"/>
      <scheme val="minor"/>
    </font>
    <font>
      <vertAlign val="superscript"/>
      <sz val="11"/>
      <color rgb="FF000000"/>
      <name val="Calibri"/>
      <family val="2"/>
    </font>
    <font>
      <sz val="11"/>
      <color rgb="FF000000"/>
      <name val="Calibri"/>
      <family val="2"/>
    </font>
    <font>
      <vertAlign val="superscript"/>
      <sz val="9"/>
      <color rgb="FF000000"/>
      <name val="Times New Roman"/>
      <family val="1"/>
    </font>
    <font>
      <sz val="11"/>
      <color rgb="FFFF0000"/>
      <name val="Calibri"/>
      <family val="2"/>
      <charset val="204"/>
      <scheme val="minor"/>
    </font>
    <font>
      <u/>
      <sz val="11"/>
      <color theme="1"/>
      <name val="Calibri"/>
      <family val="2"/>
      <charset val="204"/>
      <scheme val="minor"/>
    </font>
    <font>
      <i/>
      <sz val="11"/>
      <name val="Calibri"/>
      <family val="2"/>
      <scheme val="minor"/>
    </font>
    <font>
      <sz val="9"/>
      <color rgb="FF000000"/>
      <name val="Times New Roman"/>
    </font>
    <font>
      <vertAlign val="superscript"/>
      <sz val="9"/>
      <color rgb="FF000000"/>
      <name val="Times New Roman"/>
    </font>
    <font>
      <vertAlign val="subscript"/>
      <sz val="9"/>
      <color rgb="FF000000"/>
      <name val="Times New Roman"/>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6" tint="0.59999389629810485"/>
        <bgColor indexed="64"/>
      </patternFill>
    </fill>
    <fill>
      <patternFill patternType="solid">
        <fgColor theme="7"/>
        <bgColor indexed="64"/>
      </patternFill>
    </fill>
    <fill>
      <patternFill patternType="solid">
        <fgColor rgb="FFCCFFFF"/>
        <bgColor rgb="FFCCFFFF"/>
      </patternFill>
    </fill>
    <fill>
      <patternFill patternType="solid">
        <fgColor theme="0" tint="-0.14999847407452621"/>
        <bgColor indexed="64"/>
      </patternFill>
    </fill>
    <fill>
      <patternFill patternType="solid">
        <fgColor theme="0" tint="-0.14999847407452621"/>
        <bgColor rgb="FF000000"/>
      </patternFill>
    </fill>
  </fills>
  <borders count="4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indexed="64"/>
      </left>
      <right/>
      <top/>
      <bottom/>
      <diagonal/>
    </border>
    <border>
      <left style="thin">
        <color theme="6" tint="0.39997558519241921"/>
      </left>
      <right style="thin">
        <color theme="6" tint="0.39997558519241921"/>
      </right>
      <top style="thin">
        <color indexed="64"/>
      </top>
      <bottom style="thin">
        <color indexed="64"/>
      </bottom>
      <diagonal/>
    </border>
    <border>
      <left style="thin">
        <color theme="6" tint="0.39997558519241921"/>
      </left>
      <right/>
      <top style="thin">
        <color indexed="64"/>
      </top>
      <bottom style="thin">
        <color indexed="64"/>
      </bottom>
      <diagonal/>
    </border>
    <border>
      <left style="thin">
        <color theme="6" tint="0.39997558519241921"/>
      </left>
      <right style="thin">
        <color theme="6" tint="0.39997558519241921"/>
      </right>
      <top/>
      <bottom style="thin">
        <color indexed="64"/>
      </bottom>
      <diagonal/>
    </border>
    <border>
      <left style="thin">
        <color theme="6" tint="0.39997558519241921"/>
      </left>
      <right style="thin">
        <color theme="6" tint="0.39997558519241921"/>
      </right>
      <top/>
      <bottom/>
      <diagonal/>
    </border>
    <border>
      <left/>
      <right style="thin">
        <color theme="6" tint="0.3999755851924192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style="medium">
        <color indexed="64"/>
      </top>
      <bottom/>
      <diagonal/>
    </border>
    <border>
      <left style="medium">
        <color rgb="FF000000"/>
      </left>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43" fontId="59" fillId="0" borderId="0" applyFont="0" applyFill="0" applyBorder="0" applyAlignment="0" applyProtection="0"/>
    <xf numFmtId="9" fontId="59" fillId="0" borderId="0" applyFont="0" applyFill="0" applyBorder="0" applyAlignment="0" applyProtection="0"/>
    <xf numFmtId="0" fontId="56" fillId="7" borderId="17"/>
    <xf numFmtId="0" fontId="62" fillId="0" borderId="18"/>
    <xf numFmtId="0" fontId="6" fillId="0" borderId="0"/>
    <xf numFmtId="164" fontId="59" fillId="0" borderId="0" applyFont="0" applyFill="0" applyBorder="0" applyAlignment="0" applyProtection="0"/>
    <xf numFmtId="0" fontId="5" fillId="0" borderId="0"/>
    <xf numFmtId="0" fontId="72" fillId="0" borderId="0"/>
    <xf numFmtId="0" fontId="5" fillId="0" borderId="0"/>
    <xf numFmtId="169" fontId="5" fillId="0" borderId="0" applyFont="0" applyFill="0" applyBorder="0" applyAlignment="0" applyProtection="0"/>
    <xf numFmtId="0" fontId="4" fillId="0" borderId="0"/>
    <xf numFmtId="0" fontId="76" fillId="0" borderId="0"/>
    <xf numFmtId="0" fontId="2" fillId="0" borderId="0"/>
    <xf numFmtId="0" fontId="68" fillId="0" borderId="26"/>
    <xf numFmtId="0" fontId="68" fillId="0" borderId="37"/>
  </cellStyleXfs>
  <cellXfs count="331">
    <xf numFmtId="0" fontId="0" fillId="0" borderId="0" xfId="0"/>
    <xf numFmtId="0" fontId="0" fillId="2" borderId="0" xfId="0" applyFill="1"/>
    <xf numFmtId="0" fontId="7" fillId="2" borderId="0" xfId="0" applyFont="1" applyFill="1"/>
    <xf numFmtId="0" fontId="11" fillId="3" borderId="3" xfId="0" applyFont="1" applyFill="1" applyBorder="1" applyAlignment="1">
      <alignment horizontal="justify" vertical="center" wrapText="1"/>
    </xf>
    <xf numFmtId="0" fontId="23" fillId="2" borderId="0" xfId="0" applyFont="1" applyFill="1"/>
    <xf numFmtId="0" fontId="27" fillId="3" borderId="3" xfId="0" applyFont="1" applyFill="1" applyBorder="1" applyAlignment="1">
      <alignment horizontal="justify" vertical="center" wrapText="1"/>
    </xf>
    <xf numFmtId="0" fontId="22" fillId="2" borderId="0" xfId="0" applyFont="1" applyFill="1"/>
    <xf numFmtId="0" fontId="26" fillId="2" borderId="0" xfId="0" applyFont="1" applyFill="1"/>
    <xf numFmtId="0" fontId="29" fillId="2" borderId="0" xfId="1" applyFont="1" applyFill="1"/>
    <xf numFmtId="0" fontId="29" fillId="2" borderId="0" xfId="1" applyFont="1" applyFill="1" applyAlignment="1">
      <alignment vertical="top"/>
    </xf>
    <xf numFmtId="0" fontId="29" fillId="3" borderId="1" xfId="1" applyFont="1" applyFill="1" applyBorder="1" applyAlignment="1">
      <alignment horizontal="left" vertical="center" wrapText="1"/>
    </xf>
    <xf numFmtId="0" fontId="29" fillId="3" borderId="1" xfId="1" applyFont="1" applyFill="1" applyBorder="1" applyAlignment="1">
      <alignment horizontal="left" vertical="center"/>
    </xf>
    <xf numFmtId="0" fontId="30" fillId="3" borderId="1" xfId="1" applyFont="1" applyFill="1" applyBorder="1" applyAlignment="1">
      <alignment horizontal="center" vertical="center"/>
    </xf>
    <xf numFmtId="0" fontId="29" fillId="3" borderId="1" xfId="1" applyFont="1" applyFill="1" applyBorder="1" applyAlignment="1">
      <alignment horizontal="center" vertical="center"/>
    </xf>
    <xf numFmtId="0" fontId="38" fillId="3" borderId="1" xfId="1" applyFont="1" applyFill="1" applyBorder="1" applyAlignment="1">
      <alignment horizontal="left" vertical="center" wrapText="1"/>
    </xf>
    <xf numFmtId="0" fontId="38" fillId="3" borderId="1" xfId="1" applyFont="1" applyFill="1" applyBorder="1" applyAlignment="1">
      <alignment vertical="center" wrapText="1"/>
    </xf>
    <xf numFmtId="0" fontId="23" fillId="2" borderId="0" xfId="0" applyFont="1" applyFill="1" applyAlignment="1">
      <alignment horizontal="center" vertical="center"/>
    </xf>
    <xf numFmtId="0" fontId="27" fillId="2" borderId="0" xfId="0" applyFont="1" applyFill="1"/>
    <xf numFmtId="0" fontId="27" fillId="2" borderId="0" xfId="0" applyFont="1" applyFill="1" applyAlignment="1">
      <alignment wrapText="1"/>
    </xf>
    <xf numFmtId="0" fontId="0" fillId="2" borderId="10" xfId="0" applyFill="1" applyBorder="1"/>
    <xf numFmtId="0" fontId="43" fillId="0" borderId="0" xfId="0" applyFont="1"/>
    <xf numFmtId="0" fontId="41" fillId="4" borderId="1" xfId="0" applyFont="1" applyFill="1" applyBorder="1" applyAlignment="1">
      <alignment wrapText="1"/>
    </xf>
    <xf numFmtId="0" fontId="41" fillId="4" borderId="1" xfId="0" applyFont="1" applyFill="1" applyBorder="1"/>
    <xf numFmtId="0" fontId="29" fillId="3" borderId="1" xfId="1" applyFont="1" applyFill="1" applyBorder="1" applyAlignment="1">
      <alignment horizontal="left" vertical="center" wrapText="1" indent="3"/>
    </xf>
    <xf numFmtId="0" fontId="23" fillId="3" borderId="3" xfId="0" applyFont="1" applyFill="1" applyBorder="1" applyAlignment="1">
      <alignment horizontal="justify" vertical="center" wrapText="1"/>
    </xf>
    <xf numFmtId="0" fontId="23" fillId="3" borderId="1" xfId="0" applyFont="1" applyFill="1" applyBorder="1" applyAlignment="1">
      <alignment horizontal="justify" vertical="center"/>
    </xf>
    <xf numFmtId="0" fontId="41" fillId="4" borderId="1" xfId="0" applyFont="1" applyFill="1" applyBorder="1" applyProtection="1">
      <protection locked="0"/>
    </xf>
    <xf numFmtId="0" fontId="23" fillId="5" borderId="3" xfId="0" applyFont="1" applyFill="1" applyBorder="1" applyAlignment="1" applyProtection="1">
      <alignment horizontal="justify" vertical="center" wrapText="1"/>
      <protection locked="0"/>
    </xf>
    <xf numFmtId="0" fontId="23" fillId="5" borderId="1" xfId="0" applyFont="1" applyFill="1" applyBorder="1" applyAlignment="1" applyProtection="1">
      <alignment horizontal="justify" vertical="center" wrapText="1"/>
      <protection locked="0"/>
    </xf>
    <xf numFmtId="0" fontId="23" fillId="5" borderId="1" xfId="0" applyFont="1" applyFill="1" applyBorder="1" applyAlignment="1" applyProtection="1">
      <alignment horizontal="justify" vertical="center"/>
      <protection locked="0"/>
    </xf>
    <xf numFmtId="0" fontId="23" fillId="3" borderId="3" xfId="0" applyFont="1" applyFill="1" applyBorder="1" applyAlignment="1">
      <alignment horizontal="left" vertical="center" wrapText="1" indent="3"/>
    </xf>
    <xf numFmtId="0" fontId="27" fillId="3" borderId="1" xfId="0" applyFont="1" applyFill="1" applyBorder="1" applyAlignment="1">
      <alignment horizontal="left" vertical="center" indent="2"/>
    </xf>
    <xf numFmtId="0" fontId="23" fillId="5" borderId="3" xfId="0" applyFont="1" applyFill="1" applyBorder="1" applyAlignment="1" applyProtection="1">
      <alignment horizontal="left" vertical="center" wrapText="1" indent="3"/>
      <protection locked="0"/>
    </xf>
    <xf numFmtId="0" fontId="23" fillId="5" borderId="1" xfId="0" applyFont="1" applyFill="1" applyBorder="1" applyAlignment="1" applyProtection="1">
      <alignment horizontal="left" vertical="center" indent="3"/>
      <protection locked="0"/>
    </xf>
    <xf numFmtId="0" fontId="48" fillId="3" borderId="3" xfId="0" applyFont="1" applyFill="1" applyBorder="1" applyAlignment="1">
      <alignment horizontal="justify" vertical="center" wrapText="1"/>
    </xf>
    <xf numFmtId="0" fontId="23" fillId="3" borderId="11" xfId="0" applyFont="1" applyFill="1" applyBorder="1" applyAlignment="1">
      <alignment horizontal="left" vertical="top" wrapText="1" indent="3"/>
    </xf>
    <xf numFmtId="0" fontId="23" fillId="3" borderId="13" xfId="0" applyFont="1" applyFill="1" applyBorder="1" applyAlignment="1">
      <alignment horizontal="left" vertical="top" wrapText="1" indent="3"/>
    </xf>
    <xf numFmtId="0" fontId="48" fillId="3" borderId="11" xfId="0" applyFont="1" applyFill="1" applyBorder="1" applyAlignment="1">
      <alignment horizontal="left" vertical="top" wrapText="1"/>
    </xf>
    <xf numFmtId="0" fontId="27" fillId="3" borderId="11" xfId="0" applyFont="1" applyFill="1" applyBorder="1" applyAlignment="1">
      <alignment horizontal="left" vertical="top" wrapText="1"/>
    </xf>
    <xf numFmtId="0" fontId="23" fillId="3" borderId="14" xfId="0" applyFont="1" applyFill="1" applyBorder="1" applyAlignment="1">
      <alignment horizontal="left" vertical="top" wrapText="1" indent="3"/>
    </xf>
    <xf numFmtId="0" fontId="19" fillId="3" borderId="11" xfId="0" applyFont="1" applyFill="1" applyBorder="1" applyAlignment="1">
      <alignment horizontal="left" vertical="top"/>
    </xf>
    <xf numFmtId="0" fontId="48" fillId="3" borderId="11" xfId="0" applyFont="1" applyFill="1" applyBorder="1" applyAlignment="1">
      <alignment horizontal="left" vertical="top" wrapText="1" indent="3"/>
    </xf>
    <xf numFmtId="0" fontId="23" fillId="5" borderId="11" xfId="0" applyFont="1" applyFill="1" applyBorder="1" applyAlignment="1" applyProtection="1">
      <alignment horizontal="left" vertical="top" wrapText="1"/>
      <protection locked="0"/>
    </xf>
    <xf numFmtId="0" fontId="34" fillId="2" borderId="0" xfId="1" applyFont="1" applyFill="1"/>
    <xf numFmtId="0" fontId="30" fillId="3" borderId="0" xfId="1" applyFont="1" applyFill="1" applyAlignment="1">
      <alignment horizontal="center" vertical="center"/>
    </xf>
    <xf numFmtId="0" fontId="29" fillId="3" borderId="0" xfId="1" applyFont="1" applyFill="1" applyAlignment="1">
      <alignment horizontal="center" vertical="center"/>
    </xf>
    <xf numFmtId="0" fontId="32" fillId="3" borderId="0" xfId="1" applyFont="1" applyFill="1" applyAlignment="1">
      <alignment horizontal="center" vertical="center"/>
    </xf>
    <xf numFmtId="0" fontId="31" fillId="3" borderId="0" xfId="1" applyFont="1" applyFill="1" applyAlignment="1">
      <alignment vertical="center" wrapText="1"/>
    </xf>
    <xf numFmtId="0" fontId="31" fillId="3" borderId="0" xfId="1" applyFont="1" applyFill="1" applyAlignment="1">
      <alignment horizontal="center" vertical="center"/>
    </xf>
    <xf numFmtId="0" fontId="32" fillId="3" borderId="0" xfId="1" applyFont="1" applyFill="1" applyAlignment="1">
      <alignment vertical="center" wrapText="1"/>
    </xf>
    <xf numFmtId="0" fontId="31" fillId="3" borderId="3" xfId="1" applyFont="1" applyFill="1" applyBorder="1" applyAlignment="1">
      <alignment horizontal="center" vertical="center"/>
    </xf>
    <xf numFmtId="0" fontId="31" fillId="3" borderId="3" xfId="1" applyFont="1" applyFill="1" applyBorder="1" applyAlignment="1">
      <alignment vertical="center" wrapText="1"/>
    </xf>
    <xf numFmtId="0" fontId="29" fillId="5" borderId="1" xfId="1" applyFont="1" applyFill="1" applyBorder="1" applyAlignment="1" applyProtection="1">
      <alignment horizontal="center" vertical="center"/>
      <protection locked="0"/>
    </xf>
    <xf numFmtId="0" fontId="29" fillId="5" borderId="2" xfId="1" applyFont="1" applyFill="1" applyBorder="1" applyAlignment="1" applyProtection="1">
      <alignment horizontal="center" vertical="center"/>
      <protection locked="0"/>
    </xf>
    <xf numFmtId="0" fontId="29" fillId="5" borderId="3" xfId="1" applyFont="1" applyFill="1" applyBorder="1" applyAlignment="1" applyProtection="1">
      <alignment horizontal="center" vertical="center"/>
      <protection locked="0"/>
    </xf>
    <xf numFmtId="0" fontId="31" fillId="5" borderId="2" xfId="1" applyFont="1" applyFill="1" applyBorder="1" applyAlignment="1" applyProtection="1">
      <alignment vertical="center" wrapText="1"/>
      <protection locked="0"/>
    </xf>
    <xf numFmtId="0" fontId="29" fillId="5" borderId="1" xfId="1" applyFont="1" applyFill="1" applyBorder="1" applyAlignment="1">
      <alignment horizontal="left" vertical="center" wrapText="1" indent="1"/>
    </xf>
    <xf numFmtId="0" fontId="41" fillId="5" borderId="1" xfId="0" applyFont="1" applyFill="1" applyBorder="1" applyAlignment="1" applyProtection="1">
      <alignment horizontal="center"/>
      <protection locked="0"/>
    </xf>
    <xf numFmtId="0" fontId="43" fillId="2" borderId="0" xfId="0" applyFont="1" applyFill="1"/>
    <xf numFmtId="0" fontId="56" fillId="0" borderId="0" xfId="0" applyFont="1"/>
    <xf numFmtId="0" fontId="57" fillId="0" borderId="0" xfId="0" applyFont="1"/>
    <xf numFmtId="0" fontId="58" fillId="0" borderId="0" xfId="0" applyFont="1"/>
    <xf numFmtId="0" fontId="27" fillId="2" borderId="0" xfId="0" applyFont="1" applyFill="1" applyAlignment="1">
      <alignment horizontal="left"/>
    </xf>
    <xf numFmtId="0" fontId="27" fillId="2" borderId="0" xfId="0" applyFont="1" applyFill="1" applyAlignment="1">
      <alignment horizontal="left" wrapText="1"/>
    </xf>
    <xf numFmtId="0" fontId="56" fillId="0" borderId="17" xfId="4" applyFill="1" applyAlignment="1">
      <alignment horizontal="left" vertical="center" wrapText="1"/>
    </xf>
    <xf numFmtId="49" fontId="56" fillId="0" borderId="20" xfId="5" applyNumberFormat="1" applyFont="1" applyBorder="1" applyAlignment="1">
      <alignment horizontal="center" vertical="center"/>
    </xf>
    <xf numFmtId="0" fontId="56" fillId="0" borderId="21" xfId="5" applyFont="1" applyBorder="1" applyAlignment="1">
      <alignment horizontal="center" vertical="center" wrapText="1"/>
    </xf>
    <xf numFmtId="0" fontId="56" fillId="0" borderId="22" xfId="4" applyFill="1" applyBorder="1" applyAlignment="1">
      <alignment horizontal="left" vertical="center" wrapText="1"/>
    </xf>
    <xf numFmtId="0" fontId="56" fillId="0" borderId="24" xfId="5" applyFont="1" applyBorder="1" applyAlignment="1">
      <alignment horizontal="centerContinuous" vertical="center" wrapText="1"/>
    </xf>
    <xf numFmtId="0" fontId="56" fillId="0" borderId="25" xfId="5" applyFont="1" applyBorder="1" applyAlignment="1">
      <alignment horizontal="center" vertical="center"/>
    </xf>
    <xf numFmtId="0" fontId="68" fillId="0" borderId="26" xfId="5" applyFont="1" applyBorder="1" applyAlignment="1">
      <alignment vertical="center" wrapText="1"/>
    </xf>
    <xf numFmtId="4" fontId="68" fillId="0" borderId="28" xfId="5" applyNumberFormat="1" applyFont="1" applyBorder="1" applyAlignment="1">
      <alignment horizontal="right" vertical="center" shrinkToFit="1"/>
    </xf>
    <xf numFmtId="0" fontId="68" fillId="0" borderId="26" xfId="5" applyFont="1" applyBorder="1" applyAlignment="1">
      <alignment vertical="center"/>
    </xf>
    <xf numFmtId="0" fontId="56" fillId="0" borderId="27" xfId="5" applyFont="1" applyBorder="1" applyAlignment="1">
      <alignment vertical="center" wrapText="1"/>
    </xf>
    <xf numFmtId="4" fontId="56" fillId="0" borderId="20" xfId="5" applyNumberFormat="1" applyFont="1" applyBorder="1" applyAlignment="1">
      <alignment horizontal="right" vertical="center" shrinkToFit="1"/>
    </xf>
    <xf numFmtId="0" fontId="56" fillId="0" borderId="26" xfId="5" applyFont="1" applyBorder="1" applyAlignment="1">
      <alignment vertical="center" wrapText="1"/>
    </xf>
    <xf numFmtId="4" fontId="56" fillId="0" borderId="30" xfId="5" applyNumberFormat="1" applyFont="1" applyBorder="1" applyAlignment="1">
      <alignment horizontal="right" vertical="center" shrinkToFit="1"/>
    </xf>
    <xf numFmtId="0" fontId="56" fillId="0" borderId="18" xfId="5" applyFont="1" applyAlignment="1">
      <alignment vertical="center" wrapText="1"/>
    </xf>
    <xf numFmtId="4" fontId="56" fillId="0" borderId="31" xfId="5" applyNumberFormat="1" applyFont="1" applyBorder="1" applyAlignment="1">
      <alignment horizontal="right" vertical="center" shrinkToFit="1"/>
    </xf>
    <xf numFmtId="0" fontId="68" fillId="0" borderId="33" xfId="5" applyFont="1" applyBorder="1" applyAlignment="1">
      <alignment vertical="center"/>
    </xf>
    <xf numFmtId="4" fontId="68" fillId="0" borderId="34" xfId="5" applyNumberFormat="1" applyFont="1" applyBorder="1" applyAlignment="1">
      <alignment horizontal="right" vertical="center" shrinkToFit="1"/>
    </xf>
    <xf numFmtId="9" fontId="68" fillId="0" borderId="29" xfId="3" applyFont="1" applyFill="1" applyBorder="1" applyAlignment="1">
      <alignment horizontal="right" vertical="center" shrinkToFit="1"/>
    </xf>
    <xf numFmtId="165" fontId="68" fillId="0" borderId="29" xfId="3" applyNumberFormat="1" applyFont="1" applyFill="1" applyBorder="1" applyAlignment="1">
      <alignment horizontal="right" vertical="center" shrinkToFit="1"/>
    </xf>
    <xf numFmtId="165" fontId="56" fillId="0" borderId="21" xfId="3" applyNumberFormat="1" applyFont="1" applyFill="1" applyBorder="1" applyAlignment="1">
      <alignment horizontal="right" vertical="center" shrinkToFit="1"/>
    </xf>
    <xf numFmtId="165" fontId="56" fillId="0" borderId="29" xfId="3" applyNumberFormat="1" applyFont="1" applyFill="1" applyBorder="1" applyAlignment="1">
      <alignment horizontal="right" vertical="center" shrinkToFit="1"/>
    </xf>
    <xf numFmtId="165" fontId="56" fillId="0" borderId="32" xfId="3" applyNumberFormat="1" applyFont="1" applyFill="1" applyBorder="1" applyAlignment="1">
      <alignment horizontal="right" vertical="center" shrinkToFit="1"/>
    </xf>
    <xf numFmtId="43" fontId="6" fillId="8" borderId="0" xfId="2" applyFont="1" applyFill="1" applyBorder="1" applyAlignment="1" applyProtection="1">
      <alignment horizontal="right"/>
      <protection locked="0"/>
    </xf>
    <xf numFmtId="0" fontId="0" fillId="8" borderId="3" xfId="0" applyFill="1" applyBorder="1" applyAlignment="1" applyProtection="1">
      <alignment horizontal="center"/>
      <protection locked="0"/>
    </xf>
    <xf numFmtId="0" fontId="0" fillId="8" borderId="2" xfId="0" applyFill="1" applyBorder="1" applyAlignment="1">
      <alignment horizontal="center"/>
    </xf>
    <xf numFmtId="0" fontId="61" fillId="0" borderId="0" xfId="12" applyFont="1"/>
    <xf numFmtId="0" fontId="4" fillId="0" borderId="0" xfId="12"/>
    <xf numFmtId="0" fontId="72" fillId="0" borderId="0" xfId="9"/>
    <xf numFmtId="0" fontId="56" fillId="0" borderId="0" xfId="12" applyFont="1" applyAlignment="1">
      <alignment horizontal="center"/>
    </xf>
    <xf numFmtId="0" fontId="56" fillId="0" borderId="0" xfId="12" applyFont="1" applyAlignment="1">
      <alignment horizontal="center" vertical="top"/>
    </xf>
    <xf numFmtId="0" fontId="74" fillId="0" borderId="0" xfId="9" applyFont="1" applyAlignment="1">
      <alignment vertical="top"/>
    </xf>
    <xf numFmtId="0" fontId="68" fillId="0" borderId="0" xfId="12" applyFont="1" applyAlignment="1">
      <alignment vertical="top"/>
    </xf>
    <xf numFmtId="0" fontId="68" fillId="0" borderId="0" xfId="12" applyFont="1" applyAlignment="1">
      <alignment vertical="top" wrapText="1"/>
    </xf>
    <xf numFmtId="0" fontId="68" fillId="0" borderId="0" xfId="12" applyFont="1" applyAlignment="1">
      <alignment horizontal="center" vertical="top"/>
    </xf>
    <xf numFmtId="0" fontId="71" fillId="0" borderId="0" xfId="12" applyFont="1" applyAlignment="1">
      <alignment wrapText="1"/>
    </xf>
    <xf numFmtId="0" fontId="75" fillId="0" borderId="0" xfId="12" applyFont="1" applyAlignment="1">
      <alignment horizontal="center" vertical="top"/>
    </xf>
    <xf numFmtId="0" fontId="76" fillId="0" borderId="0" xfId="13" applyAlignment="1">
      <alignment horizontal="left"/>
    </xf>
    <xf numFmtId="0" fontId="68" fillId="0" borderId="0" xfId="12" applyFont="1"/>
    <xf numFmtId="0" fontId="56" fillId="0" borderId="0" xfId="12" applyFont="1"/>
    <xf numFmtId="0" fontId="78" fillId="0" borderId="0" xfId="12" applyFont="1"/>
    <xf numFmtId="0" fontId="72" fillId="0" borderId="0" xfId="9" applyAlignment="1">
      <alignment horizontal="left"/>
    </xf>
    <xf numFmtId="0" fontId="78" fillId="0" borderId="0" xfId="13" applyFont="1" applyAlignment="1">
      <alignment horizontal="left"/>
    </xf>
    <xf numFmtId="0" fontId="56" fillId="0" borderId="0" xfId="13" applyFont="1" applyAlignment="1">
      <alignment horizontal="left"/>
    </xf>
    <xf numFmtId="0" fontId="78" fillId="0" borderId="0" xfId="13" applyFont="1" applyAlignment="1">
      <alignment horizontal="left" wrapText="1"/>
    </xf>
    <xf numFmtId="0" fontId="79" fillId="9" borderId="27" xfId="12" applyFont="1" applyFill="1" applyBorder="1" applyAlignment="1">
      <alignment horizontal="left" vertical="top"/>
    </xf>
    <xf numFmtId="0" fontId="79" fillId="9" borderId="21" xfId="12" applyFont="1" applyFill="1" applyBorder="1" applyAlignment="1">
      <alignment horizontal="left" vertical="top"/>
    </xf>
    <xf numFmtId="0" fontId="80" fillId="0" borderId="26" xfId="12" applyFont="1" applyBorder="1" applyAlignment="1">
      <alignment vertical="center" wrapText="1"/>
    </xf>
    <xf numFmtId="0" fontId="68" fillId="0" borderId="29" xfId="12" applyFont="1" applyBorder="1" applyAlignment="1">
      <alignment horizontal="left" vertical="top" wrapText="1"/>
    </xf>
    <xf numFmtId="0" fontId="80" fillId="0" borderId="18" xfId="12" applyFont="1" applyBorder="1" applyAlignment="1">
      <alignment vertical="center" wrapText="1"/>
    </xf>
    <xf numFmtId="0" fontId="68" fillId="0" borderId="32" xfId="12" applyFont="1" applyBorder="1" applyAlignment="1">
      <alignment horizontal="left" vertical="top" wrapText="1"/>
    </xf>
    <xf numFmtId="0" fontId="79" fillId="0" borderId="0" xfId="12" applyFont="1" applyAlignment="1">
      <alignment vertical="top"/>
    </xf>
    <xf numFmtId="0" fontId="82" fillId="0" borderId="0" xfId="12" applyFont="1" applyAlignment="1">
      <alignment vertical="top"/>
    </xf>
    <xf numFmtId="0" fontId="83" fillId="0" borderId="0" xfId="12" applyFont="1" applyAlignment="1">
      <alignment horizontal="left" vertical="top"/>
    </xf>
    <xf numFmtId="0" fontId="84" fillId="0" borderId="0" xfId="12" applyFont="1" applyAlignment="1">
      <alignment horizontal="left" vertical="top"/>
    </xf>
    <xf numFmtId="0" fontId="68" fillId="0" borderId="0" xfId="12" applyFont="1" applyAlignment="1">
      <alignment horizontal="left" vertical="top"/>
    </xf>
    <xf numFmtId="0" fontId="29" fillId="5" borderId="11" xfId="0" applyFont="1" applyFill="1" applyBorder="1" applyAlignment="1" applyProtection="1">
      <alignment horizontal="left" vertical="top" wrapText="1"/>
      <protection locked="0"/>
    </xf>
    <xf numFmtId="0" fontId="23" fillId="3" borderId="1" xfId="1" applyFont="1" applyFill="1" applyBorder="1" applyAlignment="1">
      <alignment horizontal="left" vertical="center" wrapText="1" indent="3"/>
    </xf>
    <xf numFmtId="0" fontId="13" fillId="3" borderId="1" xfId="1" applyFont="1" applyFill="1" applyBorder="1" applyAlignment="1">
      <alignment vertical="center" wrapText="1"/>
    </xf>
    <xf numFmtId="0" fontId="59" fillId="5" borderId="1" xfId="1" applyFont="1" applyFill="1" applyBorder="1" applyAlignment="1" applyProtection="1">
      <alignment horizontal="center" vertical="center" wrapText="1"/>
      <protection locked="0"/>
    </xf>
    <xf numFmtId="0" fontId="59" fillId="5" borderId="1" xfId="1" applyFont="1" applyFill="1" applyBorder="1" applyAlignment="1" applyProtection="1">
      <alignment horizontal="center" vertical="center"/>
      <protection locked="0"/>
    </xf>
    <xf numFmtId="0" fontId="34" fillId="5" borderId="1" xfId="1" applyFont="1" applyFill="1" applyBorder="1" applyAlignment="1">
      <alignment horizontal="center" vertical="center"/>
    </xf>
    <xf numFmtId="4" fontId="34" fillId="5" borderId="1" xfId="1" applyNumberFormat="1" applyFont="1" applyFill="1" applyBorder="1" applyAlignment="1">
      <alignment horizontal="center" vertical="center"/>
    </xf>
    <xf numFmtId="0" fontId="52" fillId="5" borderId="1" xfId="1" applyFont="1" applyFill="1" applyBorder="1" applyAlignment="1">
      <alignment horizontal="center" vertical="center" wrapText="1"/>
    </xf>
    <xf numFmtId="0" fontId="34" fillId="5" borderId="1" xfId="1" applyFont="1" applyFill="1" applyBorder="1" applyAlignment="1" applyProtection="1">
      <alignment horizontal="center" vertical="center" wrapText="1"/>
      <protection locked="0"/>
    </xf>
    <xf numFmtId="0" fontId="34" fillId="5" borderId="1" xfId="1" applyFont="1" applyFill="1" applyBorder="1" applyAlignment="1" applyProtection="1">
      <alignment horizontal="center" vertical="center"/>
      <protection locked="0"/>
    </xf>
    <xf numFmtId="4" fontId="34" fillId="5" borderId="1" xfId="1" applyNumberFormat="1" applyFont="1" applyFill="1" applyBorder="1" applyAlignment="1" applyProtection="1">
      <alignment horizontal="center" vertical="center"/>
      <protection locked="0"/>
    </xf>
    <xf numFmtId="4" fontId="34" fillId="3" borderId="0" xfId="1" applyNumberFormat="1" applyFont="1" applyFill="1" applyAlignment="1">
      <alignment horizontal="center" vertical="center"/>
    </xf>
    <xf numFmtId="0" fontId="52" fillId="3" borderId="0" xfId="1" applyFont="1" applyFill="1" applyAlignment="1">
      <alignment horizontal="center" vertical="center"/>
    </xf>
    <xf numFmtId="0" fontId="34" fillId="5" borderId="2" xfId="1" applyFont="1" applyFill="1" applyBorder="1" applyAlignment="1" applyProtection="1">
      <alignment horizontal="center" vertical="center"/>
      <protection locked="0"/>
    </xf>
    <xf numFmtId="0" fontId="34" fillId="3" borderId="0" xfId="1" applyFont="1" applyFill="1" applyAlignment="1">
      <alignment horizontal="center" vertical="center"/>
    </xf>
    <xf numFmtId="0" fontId="59" fillId="5" borderId="2" xfId="1" applyFont="1" applyFill="1" applyBorder="1" applyAlignment="1" applyProtection="1">
      <alignment horizontal="center" vertical="center"/>
      <protection locked="0"/>
    </xf>
    <xf numFmtId="0" fontId="59" fillId="5" borderId="1" xfId="1" applyFont="1" applyFill="1" applyBorder="1" applyAlignment="1" applyProtection="1">
      <alignment vertical="center" wrapText="1"/>
      <protection locked="0"/>
    </xf>
    <xf numFmtId="0" fontId="89" fillId="5" borderId="0" xfId="1" applyFont="1" applyFill="1" applyAlignment="1" applyProtection="1">
      <alignment horizontal="center" vertical="center"/>
      <protection locked="0"/>
    </xf>
    <xf numFmtId="0" fontId="59" fillId="5" borderId="0" xfId="1" applyFont="1" applyFill="1" applyAlignment="1" applyProtection="1">
      <alignment vertical="center" wrapText="1"/>
      <protection locked="0"/>
    </xf>
    <xf numFmtId="0" fontId="3" fillId="5" borderId="3" xfId="0" applyFont="1" applyFill="1" applyBorder="1" applyAlignment="1" applyProtection="1">
      <alignment horizontal="justify" vertical="center" wrapText="1"/>
      <protection locked="0"/>
    </xf>
    <xf numFmtId="0" fontId="65" fillId="3" borderId="3" xfId="0" applyFont="1" applyFill="1" applyBorder="1" applyAlignment="1">
      <alignment horizontal="justify" vertical="center" wrapText="1"/>
    </xf>
    <xf numFmtId="0" fontId="3" fillId="5" borderId="1" xfId="0" applyFont="1" applyFill="1" applyBorder="1" applyAlignment="1" applyProtection="1">
      <alignment horizontal="justify" vertical="center" wrapText="1"/>
      <protection locked="0"/>
    </xf>
    <xf numFmtId="0" fontId="0" fillId="3" borderId="11" xfId="0" applyFill="1" applyBorder="1" applyAlignment="1">
      <alignment horizontal="left" vertical="top" wrapText="1" indent="3"/>
    </xf>
    <xf numFmtId="0" fontId="0" fillId="5" borderId="11" xfId="0" applyFill="1" applyBorder="1" applyAlignment="1" applyProtection="1">
      <alignment horizontal="left" vertical="top" wrapText="1"/>
      <protection locked="0"/>
    </xf>
    <xf numFmtId="0" fontId="0" fillId="5" borderId="11" xfId="0" applyFill="1" applyBorder="1" applyAlignment="1" applyProtection="1">
      <alignment horizontal="left" vertical="top"/>
      <protection locked="0"/>
    </xf>
    <xf numFmtId="0" fontId="13" fillId="3" borderId="12" xfId="0" applyFont="1" applyFill="1" applyBorder="1" applyAlignment="1">
      <alignment vertical="top" wrapText="1"/>
    </xf>
    <xf numFmtId="0" fontId="13" fillId="3" borderId="15" xfId="0" applyFont="1" applyFill="1" applyBorder="1" applyAlignment="1">
      <alignment vertical="top" wrapText="1"/>
    </xf>
    <xf numFmtId="0" fontId="0" fillId="3" borderId="11" xfId="0" applyFill="1" applyBorder="1" applyAlignment="1">
      <alignment horizontal="left" vertical="top" wrapText="1" indent="1"/>
    </xf>
    <xf numFmtId="0" fontId="13" fillId="3" borderId="11" xfId="0" applyFont="1" applyFill="1" applyBorder="1" applyAlignment="1">
      <alignment horizontal="left" vertical="top" wrapText="1"/>
    </xf>
    <xf numFmtId="0" fontId="0" fillId="3" borderId="11" xfId="0" applyFill="1" applyBorder="1" applyAlignment="1">
      <alignment horizontal="left" vertical="top" wrapText="1"/>
    </xf>
    <xf numFmtId="0" fontId="23" fillId="5" borderId="14" xfId="0" applyFont="1" applyFill="1" applyBorder="1" applyAlignment="1" applyProtection="1">
      <alignment horizontal="left" vertical="top" wrapText="1"/>
      <protection locked="0"/>
    </xf>
    <xf numFmtId="2" fontId="0" fillId="2" borderId="0" xfId="0" applyNumberFormat="1" applyFill="1"/>
    <xf numFmtId="0" fontId="68" fillId="0" borderId="29" xfId="12" applyFont="1" applyFill="1" applyBorder="1" applyAlignment="1">
      <alignment vertical="top" wrapText="1"/>
    </xf>
    <xf numFmtId="0" fontId="0" fillId="5" borderId="1" xfId="1" applyFont="1" applyFill="1" applyBorder="1" applyAlignment="1">
      <alignment horizontal="left" vertical="center" wrapText="1" indent="1"/>
    </xf>
    <xf numFmtId="4" fontId="59" fillId="5" borderId="1" xfId="1" applyNumberFormat="1" applyFont="1" applyFill="1" applyBorder="1" applyAlignment="1" applyProtection="1">
      <alignment horizontal="center" vertical="center"/>
      <protection locked="0"/>
    </xf>
    <xf numFmtId="0" fontId="14" fillId="2" borderId="0" xfId="0" applyFont="1" applyFill="1" applyBorder="1"/>
    <xf numFmtId="43" fontId="61" fillId="2" borderId="0" xfId="0" applyNumberFormat="1" applyFont="1" applyFill="1" applyBorder="1" applyAlignment="1" applyProtection="1">
      <alignment horizontal="center"/>
      <protection locked="0"/>
    </xf>
    <xf numFmtId="0" fontId="40" fillId="4" borderId="3" xfId="0" applyFont="1" applyFill="1" applyBorder="1"/>
    <xf numFmtId="0" fontId="87" fillId="0" borderId="0" xfId="14" applyNumberFormat="1" applyFont="1"/>
    <xf numFmtId="49" fontId="63" fillId="0" borderId="19" xfId="5" applyNumberFormat="1" applyFont="1" applyBorder="1" applyAlignment="1">
      <alignment horizontal="center" vertical="center" wrapText="1"/>
    </xf>
    <xf numFmtId="0" fontId="68" fillId="0" borderId="29" xfId="12" applyFont="1" applyFill="1" applyBorder="1" applyAlignment="1">
      <alignment horizontal="left" vertical="top" wrapText="1"/>
    </xf>
    <xf numFmtId="0" fontId="69" fillId="0" borderId="29" xfId="12" applyFont="1" applyFill="1" applyBorder="1" applyAlignment="1">
      <alignment horizontal="left" vertical="top" wrapText="1"/>
    </xf>
    <xf numFmtId="0" fontId="34" fillId="8" borderId="3" xfId="0" applyFont="1" applyFill="1" applyBorder="1" applyAlignment="1" applyProtection="1">
      <alignment horizontal="left" vertical="center" wrapText="1"/>
      <protection locked="0"/>
    </xf>
    <xf numFmtId="0" fontId="0" fillId="8" borderId="11" xfId="0" applyFill="1" applyBorder="1" applyAlignment="1" applyProtection="1">
      <alignment horizontal="left" vertical="top" wrapText="1"/>
      <protection locked="0"/>
    </xf>
    <xf numFmtId="4" fontId="0" fillId="8" borderId="2" xfId="0" applyNumberFormat="1" applyFill="1" applyBorder="1" applyAlignment="1" applyProtection="1">
      <alignment horizontal="right"/>
      <protection locked="0"/>
    </xf>
    <xf numFmtId="4" fontId="4" fillId="8" borderId="2" xfId="0" applyNumberFormat="1" applyFont="1" applyFill="1" applyBorder="1" applyAlignment="1" applyProtection="1">
      <alignment horizontal="right"/>
      <protection locked="0"/>
    </xf>
    <xf numFmtId="0" fontId="41" fillId="5" borderId="40" xfId="0" applyFont="1" applyFill="1" applyBorder="1" applyAlignment="1" applyProtection="1">
      <alignment horizontal="center"/>
      <protection locked="0"/>
    </xf>
    <xf numFmtId="0" fontId="40" fillId="4" borderId="38" xfId="0" applyFont="1" applyFill="1" applyBorder="1"/>
    <xf numFmtId="0" fontId="41" fillId="4" borderId="2" xfId="0" applyFont="1" applyFill="1" applyBorder="1" applyAlignment="1">
      <alignment horizontal="center" wrapText="1"/>
    </xf>
    <xf numFmtId="0" fontId="40" fillId="4" borderId="41" xfId="0" applyFont="1" applyFill="1" applyBorder="1"/>
    <xf numFmtId="0" fontId="40" fillId="4" borderId="38" xfId="0" applyFont="1" applyFill="1" applyBorder="1" applyAlignment="1">
      <alignment wrapText="1"/>
    </xf>
    <xf numFmtId="0" fontId="40" fillId="4" borderId="2" xfId="0" applyFont="1" applyFill="1" applyBorder="1" applyAlignment="1">
      <alignment horizontal="center" wrapText="1"/>
    </xf>
    <xf numFmtId="0" fontId="41" fillId="4" borderId="2" xfId="0" applyFont="1" applyFill="1" applyBorder="1" applyAlignment="1">
      <alignment horizontal="center" vertical="top" wrapText="1"/>
    </xf>
    <xf numFmtId="0" fontId="20" fillId="4" borderId="10" xfId="0" applyFont="1" applyFill="1" applyBorder="1"/>
    <xf numFmtId="0" fontId="20" fillId="4" borderId="38" xfId="0" applyFont="1" applyFill="1" applyBorder="1"/>
    <xf numFmtId="0" fontId="20" fillId="4" borderId="41" xfId="0" applyFont="1" applyFill="1" applyBorder="1"/>
    <xf numFmtId="0" fontId="41" fillId="4" borderId="1" xfId="0" applyFont="1" applyFill="1" applyBorder="1" applyAlignment="1">
      <alignment horizontal="center" vertical="top" wrapText="1"/>
    </xf>
    <xf numFmtId="0" fontId="13" fillId="3" borderId="38" xfId="0" applyFont="1" applyFill="1" applyBorder="1"/>
    <xf numFmtId="0" fontId="0" fillId="3" borderId="10" xfId="0" applyFill="1" applyBorder="1"/>
    <xf numFmtId="0" fontId="0" fillId="3" borderId="41" xfId="0" applyFill="1" applyBorder="1"/>
    <xf numFmtId="0" fontId="14" fillId="3" borderId="44" xfId="0" applyFont="1" applyFill="1" applyBorder="1"/>
    <xf numFmtId="0" fontId="14" fillId="3" borderId="41" xfId="0" applyFont="1" applyFill="1" applyBorder="1"/>
    <xf numFmtId="0" fontId="0" fillId="8" borderId="39" xfId="0" applyFill="1" applyBorder="1" applyAlignment="1">
      <alignment horizontal="center"/>
    </xf>
    <xf numFmtId="43" fontId="0" fillId="8" borderId="0" xfId="2" applyFont="1" applyFill="1" applyBorder="1" applyAlignment="1" applyProtection="1">
      <alignment horizontal="right"/>
      <protection locked="0"/>
    </xf>
    <xf numFmtId="4" fontId="6" fillId="8" borderId="0" xfId="0" applyNumberFormat="1" applyFont="1" applyFill="1" applyBorder="1" applyAlignment="1" applyProtection="1">
      <alignment horizontal="right"/>
      <protection locked="0"/>
    </xf>
    <xf numFmtId="4" fontId="6" fillId="8" borderId="43" xfId="0" applyNumberFormat="1" applyFont="1" applyFill="1" applyBorder="1" applyAlignment="1" applyProtection="1">
      <alignment horizontal="right"/>
      <protection locked="0"/>
    </xf>
    <xf numFmtId="0" fontId="0" fillId="8" borderId="42" xfId="0" applyFill="1" applyBorder="1" applyAlignment="1" applyProtection="1">
      <alignment horizontal="center"/>
      <protection locked="0"/>
    </xf>
    <xf numFmtId="2" fontId="61" fillId="8" borderId="0" xfId="0" applyNumberFormat="1" applyFont="1" applyFill="1" applyBorder="1" applyAlignment="1" applyProtection="1">
      <alignment horizontal="right"/>
      <protection locked="0"/>
    </xf>
    <xf numFmtId="2" fontId="61" fillId="8" borderId="43" xfId="0" applyNumberFormat="1" applyFont="1" applyFill="1" applyBorder="1" applyAlignment="1" applyProtection="1">
      <alignment horizontal="right"/>
      <protection locked="0"/>
    </xf>
    <xf numFmtId="2" fontId="0" fillId="8" borderId="0" xfId="0" applyNumberFormat="1" applyFill="1" applyBorder="1" applyAlignment="1" applyProtection="1">
      <alignment horizontal="right"/>
      <protection locked="0"/>
    </xf>
    <xf numFmtId="2" fontId="0" fillId="8" borderId="43" xfId="0" applyNumberFormat="1" applyFill="1" applyBorder="1" applyAlignment="1" applyProtection="1">
      <alignment horizontal="right"/>
      <protection locked="0"/>
    </xf>
    <xf numFmtId="0" fontId="0" fillId="8" borderId="0" xfId="0" applyFill="1" applyBorder="1" applyAlignment="1" applyProtection="1">
      <alignment horizontal="right"/>
      <protection locked="0"/>
    </xf>
    <xf numFmtId="0" fontId="0" fillId="8" borderId="43" xfId="0" applyFill="1" applyBorder="1" applyAlignment="1" applyProtection="1">
      <alignment horizontal="right"/>
      <protection locked="0"/>
    </xf>
    <xf numFmtId="0" fontId="0" fillId="8" borderId="0" xfId="0" applyFill="1" applyBorder="1" applyAlignment="1" applyProtection="1">
      <alignment horizontal="center"/>
      <protection locked="0"/>
    </xf>
    <xf numFmtId="0" fontId="0" fillId="8" borderId="43" xfId="0" applyFill="1" applyBorder="1" applyAlignment="1" applyProtection="1">
      <alignment horizontal="center"/>
      <protection locked="0"/>
    </xf>
    <xf numFmtId="4" fontId="61" fillId="8" borderId="1" xfId="0" applyNumberFormat="1" applyFont="1" applyFill="1" applyBorder="1" applyAlignment="1" applyProtection="1">
      <alignment horizontal="right"/>
      <protection locked="0"/>
    </xf>
    <xf numFmtId="4" fontId="61" fillId="8" borderId="40" xfId="0" applyNumberFormat="1" applyFont="1" applyFill="1" applyBorder="1" applyAlignment="1" applyProtection="1">
      <alignment horizontal="right"/>
      <protection locked="0"/>
    </xf>
    <xf numFmtId="4" fontId="61" fillId="8" borderId="3" xfId="0" applyNumberFormat="1" applyFont="1" applyFill="1" applyBorder="1" applyAlignment="1" applyProtection="1">
      <alignment horizontal="right"/>
      <protection locked="0"/>
    </xf>
    <xf numFmtId="4" fontId="61" fillId="8" borderId="42" xfId="0" applyNumberFormat="1" applyFont="1" applyFill="1" applyBorder="1" applyAlignment="1" applyProtection="1">
      <alignment horizontal="right"/>
      <protection locked="0"/>
    </xf>
    <xf numFmtId="43" fontId="0" fillId="8" borderId="39" xfId="0" applyNumberFormat="1" applyFill="1" applyBorder="1" applyAlignment="1">
      <alignment horizontal="center"/>
    </xf>
    <xf numFmtId="43" fontId="0" fillId="8" borderId="0" xfId="2" applyFont="1" applyFill="1" applyBorder="1" applyAlignment="1" applyProtection="1">
      <alignment horizontal="center"/>
      <protection locked="0"/>
    </xf>
    <xf numFmtId="43" fontId="0" fillId="8" borderId="43" xfId="2" applyFont="1" applyFill="1" applyBorder="1" applyAlignment="1" applyProtection="1">
      <alignment horizontal="center"/>
      <protection locked="0"/>
    </xf>
    <xf numFmtId="43" fontId="0" fillId="8" borderId="43" xfId="2" applyFont="1" applyFill="1" applyBorder="1" applyAlignment="1" applyProtection="1">
      <alignment horizontal="right"/>
      <protection locked="0"/>
    </xf>
    <xf numFmtId="4" fontId="0" fillId="8" borderId="0" xfId="2" applyNumberFormat="1" applyFont="1" applyFill="1" applyBorder="1" applyAlignment="1" applyProtection="1">
      <alignment horizontal="right"/>
      <protection locked="0"/>
    </xf>
    <xf numFmtId="43" fontId="0" fillId="8" borderId="0" xfId="2" quotePrefix="1" applyFont="1" applyFill="1" applyBorder="1" applyAlignment="1" applyProtection="1">
      <alignment horizontal="right"/>
      <protection locked="0"/>
    </xf>
    <xf numFmtId="4" fontId="0" fillId="8" borderId="0" xfId="2" quotePrefix="1" applyNumberFormat="1" applyFont="1" applyFill="1" applyBorder="1" applyAlignment="1" applyProtection="1">
      <alignment horizontal="right"/>
      <protection locked="0"/>
    </xf>
    <xf numFmtId="4" fontId="0" fillId="8" borderId="43" xfId="2" quotePrefix="1" applyNumberFormat="1" applyFont="1" applyFill="1" applyBorder="1" applyAlignment="1" applyProtection="1">
      <alignment horizontal="right"/>
      <protection locked="0"/>
    </xf>
    <xf numFmtId="43" fontId="0" fillId="8" borderId="3" xfId="2" applyFont="1" applyFill="1" applyBorder="1" applyAlignment="1" applyProtection="1">
      <alignment horizontal="center"/>
      <protection locked="0"/>
    </xf>
    <xf numFmtId="43" fontId="0" fillId="8" borderId="42" xfId="2" applyFont="1" applyFill="1" applyBorder="1" applyAlignment="1" applyProtection="1">
      <alignment horizontal="center"/>
      <protection locked="0"/>
    </xf>
    <xf numFmtId="170" fontId="0" fillId="8" borderId="0" xfId="2" applyNumberFormat="1" applyFont="1" applyFill="1" applyBorder="1" applyAlignment="1" applyProtection="1">
      <alignment horizontal="right"/>
      <protection locked="0"/>
    </xf>
    <xf numFmtId="171" fontId="0" fillId="8" borderId="0" xfId="2" applyNumberFormat="1" applyFont="1" applyFill="1" applyBorder="1" applyAlignment="1" applyProtection="1">
      <alignment horizontal="right"/>
      <protection locked="0"/>
    </xf>
    <xf numFmtId="171" fontId="0" fillId="8" borderId="43" xfId="2" applyNumberFormat="1" applyFont="1" applyFill="1" applyBorder="1" applyAlignment="1" applyProtection="1">
      <alignment horizontal="right"/>
      <protection locked="0"/>
    </xf>
    <xf numFmtId="4" fontId="61" fillId="8" borderId="0" xfId="0" applyNumberFormat="1" applyFont="1" applyFill="1" applyBorder="1" applyProtection="1">
      <protection locked="0"/>
    </xf>
    <xf numFmtId="4" fontId="61" fillId="8" borderId="0" xfId="2" applyNumberFormat="1" applyFont="1" applyFill="1" applyBorder="1" applyAlignment="1" applyProtection="1">
      <protection locked="0"/>
    </xf>
    <xf numFmtId="4" fontId="61" fillId="8" borderId="43" xfId="2" applyNumberFormat="1" applyFont="1" applyFill="1" applyBorder="1" applyAlignment="1" applyProtection="1">
      <protection locked="0"/>
    </xf>
    <xf numFmtId="4" fontId="0" fillId="8" borderId="0" xfId="0" applyNumberFormat="1" applyFill="1" applyBorder="1" applyProtection="1">
      <protection locked="0"/>
    </xf>
    <xf numFmtId="4" fontId="0" fillId="8" borderId="0" xfId="2" applyNumberFormat="1" applyFont="1" applyFill="1" applyBorder="1" applyAlignment="1" applyProtection="1">
      <protection locked="0"/>
    </xf>
    <xf numFmtId="4" fontId="0" fillId="8" borderId="43" xfId="2" applyNumberFormat="1" applyFont="1" applyFill="1" applyBorder="1" applyAlignment="1" applyProtection="1">
      <protection locked="0"/>
    </xf>
    <xf numFmtId="4" fontId="0" fillId="8" borderId="43" xfId="0" applyNumberFormat="1" applyFill="1" applyBorder="1" applyProtection="1">
      <protection locked="0"/>
    </xf>
    <xf numFmtId="167" fontId="0" fillId="8" borderId="0" xfId="0" applyNumberFormat="1" applyFill="1" applyBorder="1" applyAlignment="1" applyProtection="1">
      <alignment horizontal="right"/>
      <protection locked="0"/>
    </xf>
    <xf numFmtId="4" fontId="0" fillId="8" borderId="0" xfId="0" applyNumberFormat="1" applyFill="1" applyBorder="1" applyAlignment="1" applyProtection="1">
      <alignment horizontal="center"/>
      <protection locked="0"/>
    </xf>
    <xf numFmtId="4" fontId="0" fillId="8" borderId="43" xfId="0" applyNumberFormat="1" applyFill="1" applyBorder="1" applyAlignment="1" applyProtection="1">
      <alignment horizontal="center"/>
      <protection locked="0"/>
    </xf>
    <xf numFmtId="43" fontId="61" fillId="8" borderId="1" xfId="0" applyNumberFormat="1" applyFont="1" applyFill="1" applyBorder="1" applyAlignment="1" applyProtection="1">
      <alignment horizontal="center"/>
      <protection locked="0"/>
    </xf>
    <xf numFmtId="43" fontId="61" fillId="8" borderId="40" xfId="0" applyNumberFormat="1" applyFont="1" applyFill="1" applyBorder="1" applyAlignment="1" applyProtection="1">
      <alignment horizontal="center"/>
      <protection locked="0"/>
    </xf>
    <xf numFmtId="43" fontId="61" fillId="8" borderId="3" xfId="0" applyNumberFormat="1" applyFont="1" applyFill="1" applyBorder="1" applyAlignment="1" applyProtection="1">
      <alignment horizontal="center"/>
      <protection locked="0"/>
    </xf>
    <xf numFmtId="43" fontId="61" fillId="8" borderId="42" xfId="0" applyNumberFormat="1" applyFont="1" applyFill="1" applyBorder="1" applyAlignment="1" applyProtection="1">
      <alignment horizontal="center"/>
      <protection locked="0"/>
    </xf>
    <xf numFmtId="43" fontId="0" fillId="8" borderId="3" xfId="2" applyFont="1" applyFill="1" applyBorder="1" applyAlignment="1" applyProtection="1">
      <alignment horizontal="right"/>
      <protection locked="0"/>
    </xf>
    <xf numFmtId="43" fontId="0" fillId="8" borderId="42" xfId="2" applyFont="1" applyFill="1" applyBorder="1" applyAlignment="1" applyProtection="1">
      <alignment horizontal="right"/>
      <protection locked="0"/>
    </xf>
    <xf numFmtId="43" fontId="0" fillId="8" borderId="2" xfId="2" applyFont="1" applyFill="1" applyBorder="1" applyAlignment="1">
      <alignment horizontal="right"/>
    </xf>
    <xf numFmtId="43" fontId="0" fillId="8" borderId="39" xfId="2" applyFont="1" applyFill="1" applyBorder="1" applyAlignment="1">
      <alignment horizontal="right"/>
    </xf>
    <xf numFmtId="43" fontId="61" fillId="8" borderId="0" xfId="2" applyFont="1" applyFill="1" applyBorder="1" applyAlignment="1" applyProtection="1">
      <alignment horizontal="right"/>
      <protection locked="0"/>
    </xf>
    <xf numFmtId="43" fontId="61" fillId="8" borderId="43" xfId="2" applyFont="1" applyFill="1" applyBorder="1" applyAlignment="1" applyProtection="1">
      <alignment horizontal="right"/>
      <protection locked="0"/>
    </xf>
    <xf numFmtId="0" fontId="23" fillId="8" borderId="10" xfId="0" applyFont="1" applyFill="1" applyBorder="1" applyAlignment="1" applyProtection="1">
      <alignment horizontal="justify" vertical="center" wrapText="1"/>
      <protection locked="0"/>
    </xf>
    <xf numFmtId="0" fontId="0" fillId="8" borderId="2" xfId="0" applyFill="1" applyBorder="1" applyProtection="1">
      <protection locked="0"/>
    </xf>
    <xf numFmtId="4" fontId="4" fillId="8" borderId="39" xfId="0" applyNumberFormat="1" applyFont="1" applyFill="1" applyBorder="1" applyAlignment="1" applyProtection="1">
      <alignment horizontal="right"/>
      <protection locked="0"/>
    </xf>
    <xf numFmtId="0" fontId="0" fillId="8" borderId="41" xfId="0" applyFill="1" applyBorder="1" applyProtection="1">
      <protection locked="0"/>
    </xf>
    <xf numFmtId="0" fontId="0" fillId="8" borderId="3" xfId="0" applyFill="1" applyBorder="1" applyProtection="1">
      <protection locked="0"/>
    </xf>
    <xf numFmtId="0" fontId="0" fillId="8" borderId="42" xfId="0" applyFill="1" applyBorder="1" applyProtection="1">
      <protection locked="0"/>
    </xf>
    <xf numFmtId="0" fontId="0" fillId="8" borderId="38" xfId="0" applyFill="1" applyBorder="1" applyAlignment="1" applyProtection="1">
      <alignment wrapText="1"/>
      <protection locked="0"/>
    </xf>
    <xf numFmtId="172" fontId="0" fillId="8" borderId="36" xfId="2" applyNumberFormat="1" applyFont="1" applyFill="1" applyBorder="1" applyAlignment="1" applyProtection="1">
      <alignment horizontal="right" vertical="center"/>
      <protection locked="0"/>
    </xf>
    <xf numFmtId="172" fontId="0" fillId="8" borderId="45" xfId="2" applyNumberFormat="1" applyFont="1" applyFill="1" applyBorder="1" applyAlignment="1" applyProtection="1">
      <alignment horizontal="right" vertical="center"/>
      <protection locked="0"/>
    </xf>
    <xf numFmtId="0" fontId="0" fillId="8" borderId="10" xfId="0" applyFill="1" applyBorder="1" applyProtection="1">
      <protection locked="0"/>
    </xf>
    <xf numFmtId="0" fontId="0" fillId="8" borderId="0" xfId="0" applyFill="1" applyBorder="1" applyProtection="1">
      <protection locked="0"/>
    </xf>
    <xf numFmtId="168" fontId="0" fillId="8" borderId="0" xfId="0" applyNumberFormat="1" applyFill="1" applyBorder="1" applyAlignment="1" applyProtection="1">
      <alignment horizontal="right" vertical="center"/>
      <protection locked="0"/>
    </xf>
    <xf numFmtId="168" fontId="0" fillId="8" borderId="43" xfId="0" applyNumberFormat="1" applyFill="1" applyBorder="1" applyAlignment="1" applyProtection="1">
      <alignment horizontal="right" vertical="center"/>
      <protection locked="0"/>
    </xf>
    <xf numFmtId="2" fontId="0" fillId="8" borderId="3" xfId="0" applyNumberFormat="1" applyFill="1" applyBorder="1" applyAlignment="1" applyProtection="1">
      <alignment horizontal="right"/>
      <protection locked="0"/>
    </xf>
    <xf numFmtId="0" fontId="0" fillId="8" borderId="42" xfId="0" applyFill="1" applyBorder="1" applyAlignment="1" applyProtection="1">
      <alignment horizontal="right"/>
      <protection locked="0"/>
    </xf>
    <xf numFmtId="0" fontId="52" fillId="4" borderId="2" xfId="1" applyFont="1" applyFill="1" applyBorder="1" applyAlignment="1">
      <alignment horizontal="center" vertical="center" wrapText="1"/>
    </xf>
    <xf numFmtId="0" fontId="0" fillId="0" borderId="16" xfId="0" applyFill="1" applyBorder="1" applyAlignment="1" applyProtection="1">
      <alignment horizontal="center" vertical="center" wrapText="1"/>
      <protection locked="0"/>
    </xf>
    <xf numFmtId="0" fontId="90" fillId="0" borderId="16" xfId="0" applyFont="1" applyFill="1" applyBorder="1" applyAlignment="1" applyProtection="1">
      <alignment horizontal="left" vertical="center" wrapText="1"/>
      <protection locked="0"/>
    </xf>
    <xf numFmtId="0" fontId="90" fillId="0" borderId="16" xfId="0" applyFont="1" applyFill="1" applyBorder="1" applyAlignment="1" applyProtection="1">
      <alignment vertical="top" wrapText="1"/>
      <protection locked="0"/>
    </xf>
    <xf numFmtId="0" fontId="11" fillId="0" borderId="16" xfId="0" applyFont="1" applyFill="1" applyBorder="1" applyAlignment="1" applyProtection="1">
      <alignment horizontal="center" vertical="center" wrapText="1"/>
      <protection locked="0"/>
    </xf>
    <xf numFmtId="4" fontId="11" fillId="0" borderId="16" xfId="0" applyNumberFormat="1" applyFont="1" applyFill="1" applyBorder="1" applyAlignment="1" applyProtection="1">
      <alignment horizontal="center" vertical="center" wrapText="1"/>
      <protection locked="0"/>
    </xf>
    <xf numFmtId="0" fontId="23" fillId="0" borderId="0" xfId="0" applyFont="1" applyFill="1"/>
    <xf numFmtId="0" fontId="11" fillId="0" borderId="16" xfId="0" applyFont="1" applyFill="1" applyBorder="1" applyAlignment="1" applyProtection="1">
      <alignment horizontal="left" vertical="center" wrapText="1"/>
      <protection locked="0"/>
    </xf>
    <xf numFmtId="2" fontId="11" fillId="0" borderId="16" xfId="0" applyNumberFormat="1" applyFont="1" applyFill="1" applyBorder="1" applyAlignment="1" applyProtection="1">
      <alignment horizontal="center" vertical="center" wrapText="1"/>
      <protection locked="0"/>
    </xf>
    <xf numFmtId="0" fontId="90" fillId="0" borderId="16" xfId="0" applyFont="1" applyFill="1" applyBorder="1" applyAlignment="1" applyProtection="1">
      <alignment vertical="center" wrapText="1"/>
      <protection locked="0"/>
    </xf>
    <xf numFmtId="0" fontId="11" fillId="0" borderId="16" xfId="0" applyFont="1" applyFill="1" applyBorder="1" applyAlignment="1" applyProtection="1">
      <alignment vertical="center" wrapText="1"/>
      <protection locked="0"/>
    </xf>
    <xf numFmtId="0" fontId="11" fillId="0" borderId="35" xfId="0" applyFont="1" applyFill="1" applyBorder="1" applyAlignment="1" applyProtection="1">
      <alignment horizontal="center" vertical="center" wrapText="1"/>
      <protection locked="0"/>
    </xf>
    <xf numFmtId="0" fontId="11" fillId="0" borderId="16" xfId="0" applyFont="1" applyFill="1" applyBorder="1" applyAlignment="1" applyProtection="1">
      <alignment horizontal="left" vertical="top" wrapText="1"/>
      <protection locked="0"/>
    </xf>
    <xf numFmtId="43" fontId="0" fillId="8" borderId="0" xfId="2" applyNumberFormat="1" applyFont="1" applyFill="1" applyBorder="1" applyAlignment="1" applyProtection="1">
      <alignment horizontal="right"/>
      <protection locked="0"/>
    </xf>
    <xf numFmtId="43" fontId="0" fillId="8" borderId="0" xfId="7" applyNumberFormat="1" applyFont="1" applyFill="1" applyBorder="1" applyAlignment="1" applyProtection="1">
      <alignment horizontal="center"/>
      <protection locked="0"/>
    </xf>
    <xf numFmtId="43" fontId="0" fillId="8" borderId="43" xfId="7" applyNumberFormat="1" applyFont="1" applyFill="1" applyBorder="1" applyAlignment="1" applyProtection="1">
      <alignment horizontal="center"/>
      <protection locked="0"/>
    </xf>
    <xf numFmtId="4" fontId="0" fillId="8" borderId="0" xfId="0" applyNumberFormat="1" applyFill="1" applyBorder="1" applyAlignment="1" applyProtection="1">
      <alignment horizontal="right"/>
      <protection locked="0"/>
    </xf>
    <xf numFmtId="4" fontId="0" fillId="8" borderId="43" xfId="0" applyNumberFormat="1" applyFill="1" applyBorder="1" applyAlignment="1" applyProtection="1">
      <alignment horizontal="right"/>
      <protection locked="0"/>
    </xf>
    <xf numFmtId="0" fontId="73" fillId="0" borderId="0" xfId="9" applyFont="1" applyAlignment="1">
      <alignment horizontal="center" vertical="top"/>
    </xf>
    <xf numFmtId="0" fontId="22" fillId="6" borderId="0" xfId="0" applyFont="1" applyFill="1" applyAlignment="1">
      <alignment horizontal="center" wrapText="1"/>
    </xf>
    <xf numFmtId="0" fontId="8" fillId="2" borderId="0" xfId="0" applyFont="1" applyFill="1" applyAlignment="1">
      <alignment horizontal="left" vertical="top" wrapText="1"/>
    </xf>
    <xf numFmtId="0" fontId="16" fillId="0" borderId="0" xfId="0" applyFont="1" applyAlignment="1">
      <alignment horizontal="left" vertical="top" wrapText="1"/>
    </xf>
    <xf numFmtId="0" fontId="22" fillId="2" borderId="0" xfId="0" applyFont="1" applyFill="1" applyAlignment="1">
      <alignment horizontal="left"/>
    </xf>
    <xf numFmtId="0" fontId="41" fillId="4" borderId="1" xfId="0" applyFont="1" applyFill="1" applyBorder="1" applyAlignment="1">
      <alignment horizontal="center" wrapText="1"/>
    </xf>
    <xf numFmtId="0" fontId="7" fillId="2" borderId="0" xfId="0" applyFont="1" applyFill="1" applyAlignment="1">
      <alignment horizontal="left" wrapText="1"/>
    </xf>
    <xf numFmtId="0" fontId="23" fillId="2" borderId="2" xfId="0" applyFont="1" applyFill="1" applyBorder="1" applyAlignment="1">
      <alignment horizontal="left" vertical="top" wrapText="1"/>
    </xf>
    <xf numFmtId="0" fontId="23" fillId="2" borderId="0" xfId="0" applyFont="1" applyFill="1" applyAlignment="1">
      <alignment horizontal="left" vertical="top" wrapText="1"/>
    </xf>
    <xf numFmtId="0" fontId="22" fillId="2" borderId="0" xfId="0" applyFont="1" applyFill="1" applyAlignment="1">
      <alignment horizontal="left" wrapText="1"/>
    </xf>
    <xf numFmtId="0" fontId="23" fillId="0" borderId="0" xfId="0" applyFont="1" applyAlignment="1">
      <alignment horizontal="left" vertical="top" wrapText="1"/>
    </xf>
    <xf numFmtId="0" fontId="48" fillId="3" borderId="12" xfId="0" applyFont="1" applyFill="1" applyBorder="1" applyAlignment="1">
      <alignment horizontal="left" vertical="top" wrapText="1"/>
    </xf>
    <xf numFmtId="0" fontId="48" fillId="3" borderId="15" xfId="0" applyFont="1" applyFill="1" applyBorder="1" applyAlignment="1">
      <alignment horizontal="left" vertical="top" wrapText="1"/>
    </xf>
    <xf numFmtId="0" fontId="13" fillId="3" borderId="12" xfId="0" applyFont="1" applyFill="1" applyBorder="1" applyAlignment="1">
      <alignment horizontal="left" vertical="top" wrapText="1"/>
    </xf>
    <xf numFmtId="0" fontId="13" fillId="3" borderId="15" xfId="0" applyFont="1" applyFill="1" applyBorder="1" applyAlignment="1">
      <alignment horizontal="left" vertical="top" wrapText="1"/>
    </xf>
    <xf numFmtId="0" fontId="54" fillId="4" borderId="0" xfId="1" applyFont="1" applyFill="1" applyAlignment="1">
      <alignment horizontal="center" vertical="center" wrapText="1"/>
    </xf>
    <xf numFmtId="0" fontId="54" fillId="4" borderId="3" xfId="1" applyFont="1" applyFill="1" applyBorder="1" applyAlignment="1">
      <alignment horizontal="center" vertical="center" wrapText="1"/>
    </xf>
    <xf numFmtId="0" fontId="50" fillId="2" borderId="0" xfId="1" applyFont="1" applyFill="1" applyAlignment="1">
      <alignment horizontal="left" vertical="center" wrapText="1"/>
    </xf>
    <xf numFmtId="0" fontId="52" fillId="4" borderId="1" xfId="1" applyFont="1" applyFill="1" applyBorder="1" applyAlignment="1">
      <alignment horizontal="center" vertical="center" wrapText="1"/>
    </xf>
    <xf numFmtId="0" fontId="51" fillId="4" borderId="2" xfId="1" applyFont="1" applyFill="1" applyBorder="1" applyAlignment="1">
      <alignment horizontal="center" vertical="center" wrapText="1"/>
    </xf>
    <xf numFmtId="0" fontId="51" fillId="4" borderId="0" xfId="1" applyFont="1" applyFill="1" applyAlignment="1">
      <alignment horizontal="center" vertical="center" wrapText="1"/>
    </xf>
    <xf numFmtId="0" fontId="51" fillId="4" borderId="3" xfId="1" applyFont="1" applyFill="1" applyBorder="1" applyAlignment="1">
      <alignment horizontal="center" vertical="center" wrapText="1"/>
    </xf>
    <xf numFmtId="0" fontId="11" fillId="5" borderId="1" xfId="1" applyFont="1" applyFill="1" applyBorder="1" applyAlignment="1" applyProtection="1">
      <alignment horizontal="center" vertical="center" wrapText="1"/>
      <protection locked="0"/>
    </xf>
    <xf numFmtId="0" fontId="30" fillId="3" borderId="1" xfId="1" applyFont="1" applyFill="1" applyBorder="1" applyAlignment="1">
      <alignment horizontal="center" vertical="center"/>
    </xf>
    <xf numFmtId="0" fontId="52" fillId="4" borderId="2" xfId="1" applyFont="1" applyFill="1" applyBorder="1" applyAlignment="1">
      <alignment horizontal="center" vertical="center" wrapText="1"/>
    </xf>
    <xf numFmtId="0" fontId="52" fillId="4" borderId="0" xfId="1" applyFont="1" applyFill="1" applyAlignment="1">
      <alignment horizontal="center" vertical="center" wrapText="1"/>
    </xf>
    <xf numFmtId="0" fontId="52" fillId="4" borderId="3" xfId="1" applyFont="1" applyFill="1" applyBorder="1" applyAlignment="1">
      <alignment horizontal="center" vertical="center" wrapText="1"/>
    </xf>
    <xf numFmtId="0" fontId="55" fillId="4" borderId="2" xfId="1" applyFont="1" applyFill="1" applyBorder="1" applyAlignment="1" applyProtection="1">
      <alignment horizontal="center" vertical="center"/>
      <protection locked="0"/>
    </xf>
    <xf numFmtId="0" fontId="55" fillId="4" borderId="0" xfId="1" applyFont="1" applyFill="1" applyAlignment="1" applyProtection="1">
      <alignment horizontal="center" vertical="center"/>
      <protection locked="0"/>
    </xf>
    <xf numFmtId="0" fontId="55" fillId="4" borderId="3" xfId="1" applyFont="1" applyFill="1" applyBorder="1" applyAlignment="1" applyProtection="1">
      <alignment horizontal="center" vertical="center"/>
      <protection locked="0"/>
    </xf>
    <xf numFmtId="0" fontId="88" fillId="3" borderId="1" xfId="1" applyFont="1" applyFill="1" applyBorder="1" applyAlignment="1">
      <alignment horizontal="left" vertical="center" wrapText="1"/>
    </xf>
    <xf numFmtId="0" fontId="29" fillId="3" borderId="1" xfId="1" applyFont="1" applyFill="1" applyBorder="1" applyAlignment="1">
      <alignment horizontal="left" vertical="center" wrapText="1"/>
    </xf>
    <xf numFmtId="0" fontId="29" fillId="2" borderId="2" xfId="1" applyFont="1" applyFill="1" applyBorder="1" applyAlignment="1">
      <alignment horizontal="left" wrapText="1"/>
    </xf>
    <xf numFmtId="0" fontId="29" fillId="2" borderId="0" xfId="1" applyFont="1" applyFill="1" applyAlignment="1">
      <alignment horizontal="left" wrapText="1"/>
    </xf>
    <xf numFmtId="0" fontId="34" fillId="3" borderId="1" xfId="1" applyFont="1" applyFill="1" applyBorder="1" applyAlignment="1">
      <alignment horizontal="left" vertical="center" wrapText="1"/>
    </xf>
    <xf numFmtId="0" fontId="29" fillId="5" borderId="3" xfId="1" applyFont="1" applyFill="1" applyBorder="1" applyAlignment="1" applyProtection="1">
      <alignment horizontal="left" vertical="center" wrapText="1"/>
      <protection locked="0"/>
    </xf>
    <xf numFmtId="0" fontId="29" fillId="5" borderId="1" xfId="1" applyFont="1" applyFill="1" applyBorder="1" applyAlignment="1" applyProtection="1">
      <alignment horizontal="left" vertical="center" wrapText="1"/>
      <protection locked="0"/>
    </xf>
    <xf numFmtId="4" fontId="11" fillId="0" borderId="35" xfId="0" applyNumberFormat="1" applyFont="1" applyFill="1" applyBorder="1" applyAlignment="1" applyProtection="1">
      <alignment horizontal="center" vertical="center" wrapText="1"/>
      <protection locked="0"/>
    </xf>
    <xf numFmtId="4" fontId="11" fillId="0" borderId="46" xfId="0" applyNumberFormat="1" applyFont="1" applyFill="1" applyBorder="1" applyAlignment="1" applyProtection="1">
      <alignment horizontal="center" vertical="center" wrapText="1"/>
      <protection locked="0"/>
    </xf>
    <xf numFmtId="166" fontId="65" fillId="0" borderId="35" xfId="7" applyNumberFormat="1" applyFont="1" applyFill="1" applyBorder="1" applyAlignment="1" applyProtection="1">
      <alignment horizontal="center" vertical="center" wrapText="1"/>
      <protection locked="0"/>
    </xf>
    <xf numFmtId="166" fontId="65" fillId="0" borderId="46" xfId="7" applyNumberFormat="1" applyFont="1" applyFill="1" applyBorder="1" applyAlignment="1" applyProtection="1">
      <alignment horizontal="center" vertical="center" wrapText="1"/>
      <protection locked="0"/>
    </xf>
    <xf numFmtId="0" fontId="41" fillId="4" borderId="2" xfId="0" applyFont="1" applyFill="1" applyBorder="1" applyAlignment="1">
      <alignment horizontal="center" vertical="center" wrapText="1"/>
    </xf>
    <xf numFmtId="0" fontId="41" fillId="4" borderId="3"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27" fillId="2" borderId="0" xfId="0" applyFont="1" applyFill="1" applyAlignment="1">
      <alignment horizontal="left" wrapText="1"/>
    </xf>
    <xf numFmtId="0" fontId="21" fillId="2" borderId="0" xfId="0" applyFont="1" applyFill="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7"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41" fillId="4" borderId="9"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41" fillId="4" borderId="4"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63" fillId="0" borderId="23" xfId="5" applyFont="1" applyBorder="1" applyAlignment="1">
      <alignment horizontal="center" vertical="center" wrapText="1"/>
    </xf>
    <xf numFmtId="0" fontId="66" fillId="0" borderId="24" xfId="5" applyFont="1" applyBorder="1" applyAlignment="1">
      <alignment horizontal="center" vertical="center" wrapText="1"/>
    </xf>
    <xf numFmtId="0" fontId="56" fillId="0" borderId="24" xfId="5" applyFont="1" applyBorder="1" applyAlignment="1">
      <alignment horizontal="center" vertical="center" wrapText="1"/>
    </xf>
    <xf numFmtId="0" fontId="21" fillId="0" borderId="0" xfId="0" applyFont="1" applyBorder="1" applyAlignment="1">
      <alignment horizontal="center" wrapText="1"/>
    </xf>
    <xf numFmtId="0" fontId="41" fillId="4" borderId="2" xfId="0" applyFont="1" applyFill="1" applyBorder="1" applyAlignment="1">
      <alignment horizontal="center" wrapText="1"/>
    </xf>
    <xf numFmtId="0" fontId="41" fillId="4" borderId="39" xfId="0" applyFont="1" applyFill="1" applyBorder="1" applyAlignment="1">
      <alignment horizontal="center" wrapText="1"/>
    </xf>
    <xf numFmtId="0" fontId="41" fillId="4" borderId="2" xfId="0" applyFont="1" applyFill="1" applyBorder="1" applyAlignment="1">
      <alignment horizontal="center"/>
    </xf>
    <xf numFmtId="0" fontId="41" fillId="4" borderId="39" xfId="0" applyFont="1" applyFill="1" applyBorder="1" applyAlignment="1">
      <alignment horizontal="center"/>
    </xf>
    <xf numFmtId="0" fontId="21" fillId="0" borderId="3" xfId="0" applyFont="1" applyBorder="1" applyAlignment="1">
      <alignment horizontal="center" wrapText="1"/>
    </xf>
    <xf numFmtId="0" fontId="1" fillId="5" borderId="3" xfId="0" applyFont="1" applyFill="1" applyBorder="1" applyAlignment="1" applyProtection="1">
      <alignment horizontal="justify" vertical="center" wrapText="1"/>
      <protection locked="0"/>
    </xf>
    <xf numFmtId="0" fontId="1" fillId="8" borderId="1" xfId="0" applyFont="1" applyFill="1" applyBorder="1" applyAlignment="1" applyProtection="1">
      <alignment horizontal="justify" vertical="center" wrapText="1"/>
      <protection locked="0"/>
    </xf>
  </cellXfs>
  <cellStyles count="17">
    <cellStyle name="5x indented GHG Textfiels" xfId="15" xr:uid="{00000000-0005-0000-0000-000004000000}"/>
    <cellStyle name="Comma" xfId="2" builtinId="3"/>
    <cellStyle name="DocBox_EmptyRow" xfId="16" xr:uid="{00000000-0005-0000-0000-000006000000}"/>
    <cellStyle name="Headline" xfId="13" xr:uid="{00000000-0005-0000-0000-000000000000}"/>
    <cellStyle name="Hyperlink" xfId="9" xr:uid="{00000000-0005-0000-0000-000001000000}"/>
    <cellStyle name="Normal" xfId="0" builtinId="0"/>
    <cellStyle name="Normal 2" xfId="1" xr:uid="{00000000-0005-0000-0000-000002000000}"/>
    <cellStyle name="Normal 2 2" xfId="6" xr:uid="{00000000-0005-0000-0000-000003000000}"/>
    <cellStyle name="Normal 2 3" xfId="8" xr:uid="{00000000-0005-0000-0000-000004000000}"/>
    <cellStyle name="Normal GHG Textfiels Bold" xfId="4" xr:uid="{00000000-0005-0000-0000-000005000000}"/>
    <cellStyle name="Percent" xfId="3" builtinId="5"/>
    <cellStyle name="Обычный 2" xfId="10" xr:uid="{00000000-0005-0000-0000-000007000000}"/>
    <cellStyle name="Обычный 3" xfId="12" xr:uid="{00000000-0005-0000-0000-000008000000}"/>
    <cellStyle name="Обычный 4" xfId="14" xr:uid="{00000000-0005-0000-0000-00003E000000}"/>
    <cellStyle name="Обычный_CRF2002 (1)" xfId="5" xr:uid="{00000000-0005-0000-0000-000009000000}"/>
    <cellStyle name="Финансовый [0] 2" xfId="11" xr:uid="{00000000-0005-0000-0000-00000C000000}"/>
    <cellStyle name="Финансовый 2" xfId="7"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showGridLines="0" workbookViewId="0">
      <selection activeCell="C20" sqref="C20"/>
    </sheetView>
  </sheetViews>
  <sheetFormatPr defaultColWidth="8.90625" defaultRowHeight="14.4" customHeight="1" x14ac:dyDescent="0.35"/>
  <cols>
    <col min="1" max="1" width="8.90625" style="90"/>
    <col min="2" max="2" width="2.54296875" style="90" customWidth="1"/>
    <col min="3" max="3" width="56.453125" style="90" customWidth="1"/>
    <col min="4" max="4" width="12.453125" style="90" customWidth="1"/>
    <col min="5" max="5" width="63.54296875" style="90" customWidth="1"/>
    <col min="6" max="7" width="99.453125" style="90" customWidth="1"/>
    <col min="8" max="16384" width="8.90625" style="90"/>
  </cols>
  <sheetData>
    <row r="1" spans="1:6" ht="14.5" x14ac:dyDescent="0.35">
      <c r="A1" s="89" t="s">
        <v>383</v>
      </c>
    </row>
    <row r="3" spans="1:6" ht="14.5" x14ac:dyDescent="0.35">
      <c r="A3" s="91"/>
      <c r="D3" s="92"/>
    </row>
    <row r="4" spans="1:6" ht="17.399999999999999" customHeight="1" x14ac:dyDescent="0.35">
      <c r="A4" s="264"/>
      <c r="B4" s="264"/>
      <c r="C4" s="264"/>
      <c r="D4" s="93" t="s">
        <v>384</v>
      </c>
      <c r="E4" s="93" t="s">
        <v>385</v>
      </c>
    </row>
    <row r="5" spans="1:6" ht="14.5" x14ac:dyDescent="0.35">
      <c r="A5" s="94" t="s">
        <v>386</v>
      </c>
      <c r="B5" s="95"/>
      <c r="C5" s="96" t="s">
        <v>387</v>
      </c>
      <c r="D5" s="97" t="s">
        <v>388</v>
      </c>
      <c r="E5" s="96"/>
      <c r="F5" s="98"/>
    </row>
    <row r="6" spans="1:6" ht="14.5" x14ac:dyDescent="0.35">
      <c r="A6" s="94" t="s">
        <v>389</v>
      </c>
      <c r="B6" s="95"/>
      <c r="C6" s="96" t="s">
        <v>390</v>
      </c>
      <c r="D6" s="97" t="s">
        <v>388</v>
      </c>
      <c r="E6" s="95"/>
      <c r="F6" s="98"/>
    </row>
    <row r="7" spans="1:6" ht="34.5" customHeight="1" x14ac:dyDescent="0.35">
      <c r="A7" s="94" t="s">
        <v>391</v>
      </c>
      <c r="B7" s="95"/>
      <c r="C7" s="96" t="s">
        <v>392</v>
      </c>
      <c r="D7" s="97" t="s">
        <v>388</v>
      </c>
      <c r="E7" s="95"/>
      <c r="F7" s="98"/>
    </row>
    <row r="8" spans="1:6" ht="23.15" customHeight="1" x14ac:dyDescent="0.35">
      <c r="A8" s="94" t="s">
        <v>393</v>
      </c>
      <c r="B8" s="95"/>
      <c r="C8" s="96" t="s">
        <v>394</v>
      </c>
      <c r="D8" s="97" t="s">
        <v>388</v>
      </c>
      <c r="E8" s="95"/>
      <c r="F8" s="98"/>
    </row>
    <row r="9" spans="1:6" ht="40.4" customHeight="1" x14ac:dyDescent="0.35">
      <c r="A9" s="94" t="s">
        <v>415</v>
      </c>
      <c r="B9" s="95"/>
      <c r="C9" s="96" t="s">
        <v>422</v>
      </c>
      <c r="D9" s="97" t="s">
        <v>388</v>
      </c>
      <c r="E9" s="95"/>
      <c r="F9" s="98"/>
    </row>
    <row r="10" spans="1:6" ht="23.15" customHeight="1" x14ac:dyDescent="0.35">
      <c r="A10" s="94" t="s">
        <v>416</v>
      </c>
      <c r="B10" s="95"/>
      <c r="C10" s="96" t="s">
        <v>423</v>
      </c>
      <c r="D10" s="97" t="s">
        <v>388</v>
      </c>
      <c r="E10" s="95"/>
      <c r="F10" s="98"/>
    </row>
    <row r="11" spans="1:6" ht="23.15" customHeight="1" x14ac:dyDescent="0.35">
      <c r="A11" s="94" t="s">
        <v>417</v>
      </c>
      <c r="B11" s="95"/>
      <c r="C11" s="96" t="s">
        <v>424</v>
      </c>
      <c r="D11" s="97" t="s">
        <v>388</v>
      </c>
      <c r="E11" s="95"/>
      <c r="F11" s="98"/>
    </row>
    <row r="12" spans="1:6" ht="23.15" customHeight="1" x14ac:dyDescent="0.35">
      <c r="A12" s="94" t="s">
        <v>418</v>
      </c>
      <c r="B12" s="95"/>
      <c r="C12" s="96" t="s">
        <v>425</v>
      </c>
      <c r="D12" s="97" t="s">
        <v>388</v>
      </c>
      <c r="E12" s="95"/>
      <c r="F12" s="98"/>
    </row>
    <row r="13" spans="1:6" ht="23.15" customHeight="1" x14ac:dyDescent="0.35">
      <c r="A13" s="94" t="s">
        <v>419</v>
      </c>
      <c r="B13" s="95"/>
      <c r="C13" s="96" t="s">
        <v>426</v>
      </c>
      <c r="D13" s="97" t="s">
        <v>388</v>
      </c>
      <c r="E13" s="95"/>
      <c r="F13" s="98"/>
    </row>
    <row r="14" spans="1:6" ht="23.15" customHeight="1" x14ac:dyDescent="0.35">
      <c r="A14" s="94" t="s">
        <v>420</v>
      </c>
      <c r="B14" s="95"/>
      <c r="C14" s="96" t="s">
        <v>427</v>
      </c>
      <c r="D14" s="97" t="s">
        <v>388</v>
      </c>
      <c r="E14" s="95"/>
      <c r="F14" s="98"/>
    </row>
    <row r="15" spans="1:6" ht="23.15" customHeight="1" x14ac:dyDescent="0.35">
      <c r="A15" s="94" t="s">
        <v>421</v>
      </c>
      <c r="B15" s="95"/>
      <c r="C15" s="96" t="s">
        <v>428</v>
      </c>
      <c r="D15" s="97" t="s">
        <v>388</v>
      </c>
      <c r="E15" s="95"/>
      <c r="F15" s="98"/>
    </row>
    <row r="16" spans="1:6" ht="45.9" customHeight="1" x14ac:dyDescent="0.35">
      <c r="A16" s="94" t="s">
        <v>395</v>
      </c>
      <c r="B16" s="95"/>
      <c r="C16" s="96" t="s">
        <v>396</v>
      </c>
      <c r="D16" s="97" t="s">
        <v>388</v>
      </c>
      <c r="E16" s="95"/>
    </row>
    <row r="17" spans="4:4" ht="23.15" customHeight="1" x14ac:dyDescent="0.35">
      <c r="D17" s="99"/>
    </row>
    <row r="18" spans="4:4" ht="23.15" customHeight="1" x14ac:dyDescent="0.35">
      <c r="D18" s="99"/>
    </row>
    <row r="19" spans="4:4" ht="23.15" customHeight="1" x14ac:dyDescent="0.35">
      <c r="D19" s="99"/>
    </row>
    <row r="20" spans="4:4" ht="23.15" customHeight="1" x14ac:dyDescent="0.35">
      <c r="D20" s="99"/>
    </row>
    <row r="21" spans="4:4" ht="14.5" x14ac:dyDescent="0.35">
      <c r="D21" s="99"/>
    </row>
    <row r="22" spans="4:4" ht="14.5" x14ac:dyDescent="0.35">
      <c r="D22" s="99"/>
    </row>
    <row r="23" spans="4:4" ht="34.5" customHeight="1" x14ac:dyDescent="0.35"/>
    <row r="24" spans="4:4" ht="23.15" customHeight="1" x14ac:dyDescent="0.35"/>
  </sheetData>
  <mergeCells count="1">
    <mergeCell ref="A4:C4"/>
  </mergeCells>
  <hyperlinks>
    <hyperlink ref="A5" location="'Table1'!A1" display="Table1" xr:uid="{00000000-0004-0000-0000-000000000000}"/>
    <hyperlink ref="A6" location="'Table2'!A1" display="Table2" xr:uid="{00000000-0004-0000-0000-000001000000}"/>
    <hyperlink ref="A7" location="'Table3'!A1" display="Table3" xr:uid="{00000000-0004-0000-0000-000002000000}"/>
    <hyperlink ref="A8" location="Table4.1!A1" display="Table4" xr:uid="{00000000-0004-0000-0000-000003000000}"/>
    <hyperlink ref="A16" location="'Appendix'!A1" display="Appendix" xr:uid="{00000000-0004-0000-0000-000004000000}"/>
  </hyperlinks>
  <pageMargins left="0.7" right="0.7" top="0.75" bottom="0.75" header="0.3" footer="0.3"/>
  <pageSetup orientation="portrait" horizontalDpi="4294967293" verticalDpi="429496729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226"/>
  <sheetViews>
    <sheetView zoomScaleNormal="100" workbookViewId="0">
      <pane ySplit="3" topLeftCell="A4" activePane="bottomLeft" state="frozen"/>
      <selection pane="bottomLeft" activeCell="I12" sqref="I12"/>
    </sheetView>
  </sheetViews>
  <sheetFormatPr defaultRowHeight="14.5" x14ac:dyDescent="0.35"/>
  <cols>
    <col min="1" max="1" width="39.90625" customWidth="1"/>
    <col min="2" max="2" width="18.90625" customWidth="1"/>
    <col min="3" max="3" width="15.81640625" customWidth="1"/>
    <col min="4" max="4" width="16.36328125" customWidth="1"/>
    <col min="5" max="5" width="16.54296875" customWidth="1"/>
    <col min="6" max="6" width="18.54296875" customWidth="1"/>
    <col min="7" max="45" width="8.90625" style="1"/>
  </cols>
  <sheetData>
    <row r="1" spans="1:45" s="20" customFormat="1" ht="36" customHeight="1" x14ac:dyDescent="0.45">
      <c r="A1" s="323" t="s">
        <v>170</v>
      </c>
      <c r="B1" s="323"/>
      <c r="C1" s="323"/>
      <c r="D1" s="323"/>
      <c r="E1" s="323"/>
      <c r="F1" s="323"/>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row>
    <row r="2" spans="1:45" ht="67.25" customHeight="1" x14ac:dyDescent="0.45">
      <c r="A2" s="173"/>
      <c r="B2" s="167" t="s">
        <v>138</v>
      </c>
      <c r="C2" s="324" t="s">
        <v>139</v>
      </c>
      <c r="D2" s="324"/>
      <c r="E2" s="324"/>
      <c r="F2" s="325"/>
      <c r="G2" s="58"/>
    </row>
    <row r="3" spans="1:45" ht="22.4" customHeight="1" x14ac:dyDescent="0.35">
      <c r="A3" s="174"/>
      <c r="B3" s="57">
        <v>2022</v>
      </c>
      <c r="C3" s="57">
        <v>2025</v>
      </c>
      <c r="D3" s="57">
        <v>2030</v>
      </c>
      <c r="E3" s="57">
        <v>2035</v>
      </c>
      <c r="F3" s="165">
        <v>2040</v>
      </c>
    </row>
    <row r="4" spans="1:45" ht="16.5" x14ac:dyDescent="0.35">
      <c r="A4" s="176" t="s">
        <v>169</v>
      </c>
      <c r="B4" s="88"/>
      <c r="C4" s="88"/>
      <c r="D4" s="88"/>
      <c r="E4" s="88"/>
      <c r="F4" s="181"/>
    </row>
    <row r="5" spans="1:45" x14ac:dyDescent="0.35">
      <c r="A5" s="177" t="s">
        <v>87</v>
      </c>
      <c r="B5" s="182">
        <v>253947.73618572546</v>
      </c>
      <c r="C5" s="183">
        <v>254735.5060634918</v>
      </c>
      <c r="D5" s="183">
        <v>237327.29505417158</v>
      </c>
      <c r="E5" s="183">
        <v>230182.45161781914</v>
      </c>
      <c r="F5" s="184">
        <v>223497.08951631864</v>
      </c>
      <c r="G5" s="150"/>
    </row>
    <row r="6" spans="1:45" x14ac:dyDescent="0.35">
      <c r="A6" s="177" t="s">
        <v>88</v>
      </c>
      <c r="B6" s="182">
        <v>27974.508728829114</v>
      </c>
      <c r="C6" s="183">
        <v>32342.696267469135</v>
      </c>
      <c r="D6" s="183">
        <v>35693.496632059934</v>
      </c>
      <c r="E6" s="183">
        <v>36088.562671908585</v>
      </c>
      <c r="F6" s="184">
        <v>39415.955045586947</v>
      </c>
      <c r="G6" s="150"/>
    </row>
    <row r="7" spans="1:45" ht="14.4" customHeight="1" x14ac:dyDescent="0.35">
      <c r="A7" s="177" t="s">
        <v>89</v>
      </c>
      <c r="B7" s="182">
        <v>27006.798875238153</v>
      </c>
      <c r="C7" s="86">
        <v>29883.954954585013</v>
      </c>
      <c r="D7" s="183">
        <v>33822.34343877303</v>
      </c>
      <c r="E7" s="183">
        <v>37177.8403989211</v>
      </c>
      <c r="F7" s="184">
        <v>40874.160000000011</v>
      </c>
      <c r="G7" s="150"/>
    </row>
    <row r="8" spans="1:45" x14ac:dyDescent="0.35">
      <c r="A8" s="177" t="s">
        <v>90</v>
      </c>
      <c r="B8" s="182">
        <v>32997.684880000001</v>
      </c>
      <c r="C8" s="86">
        <v>26278.260000000002</v>
      </c>
      <c r="D8" s="183">
        <v>26849.7</v>
      </c>
      <c r="E8" s="183">
        <v>26871.940000000002</v>
      </c>
      <c r="F8" s="184">
        <v>26103.64</v>
      </c>
      <c r="G8" s="150"/>
    </row>
    <row r="9" spans="1:45" x14ac:dyDescent="0.35">
      <c r="A9" s="177" t="s">
        <v>91</v>
      </c>
      <c r="B9" s="259">
        <v>4129.1937666670283</v>
      </c>
      <c r="C9" s="262">
        <v>-3854.5400000000004</v>
      </c>
      <c r="D9" s="262">
        <v>-17874.68</v>
      </c>
      <c r="E9" s="262">
        <v>-32270.43</v>
      </c>
      <c r="F9" s="263">
        <v>-48397.83</v>
      </c>
      <c r="G9" s="150"/>
    </row>
    <row r="10" spans="1:45" x14ac:dyDescent="0.35">
      <c r="A10" s="177" t="s">
        <v>92</v>
      </c>
      <c r="B10" s="259">
        <v>6917.1042493484001</v>
      </c>
      <c r="C10" s="260">
        <v>6905.4255095899989</v>
      </c>
      <c r="D10" s="260">
        <v>6868.8428918400004</v>
      </c>
      <c r="E10" s="260">
        <v>6795.7619009400005</v>
      </c>
      <c r="F10" s="261">
        <v>6678.9209273100005</v>
      </c>
      <c r="G10" s="150"/>
    </row>
    <row r="11" spans="1:45" x14ac:dyDescent="0.35">
      <c r="A11" s="178" t="s">
        <v>93</v>
      </c>
      <c r="B11" s="87"/>
      <c r="C11" s="87"/>
      <c r="D11" s="87"/>
      <c r="E11" s="87"/>
      <c r="F11" s="185"/>
      <c r="G11" s="150"/>
    </row>
    <row r="12" spans="1:45" x14ac:dyDescent="0.35">
      <c r="A12" s="176" t="s">
        <v>94</v>
      </c>
      <c r="B12" s="88"/>
      <c r="C12" s="88"/>
      <c r="D12" s="88"/>
      <c r="E12" s="88"/>
      <c r="F12" s="181"/>
      <c r="G12" s="150"/>
    </row>
    <row r="13" spans="1:45" ht="14.4" customHeight="1" x14ac:dyDescent="0.35">
      <c r="A13" s="177" t="s">
        <v>95</v>
      </c>
      <c r="B13" s="186">
        <f>250176.855321163+24165.38+3.09+0.25+3946.50667</f>
        <v>278292.08199116297</v>
      </c>
      <c r="C13" s="186">
        <f>252656.728438796+26943.69+0.29+(-4031.84)</f>
        <v>275568.86843879597</v>
      </c>
      <c r="D13" s="186">
        <f>241335.349977959+30717.875+0.28+(-18043.29)</f>
        <v>254010.21497795903</v>
      </c>
      <c r="E13" s="186">
        <f>236717.949067766+33915.01+0.276+(-32430.78)</f>
        <v>238202.45506776599</v>
      </c>
      <c r="F13" s="187">
        <f>234184.870423243+37444.91+0.27+(-48550.32)</f>
        <v>223079.73042324302</v>
      </c>
      <c r="G13" s="150"/>
    </row>
    <row r="14" spans="1:45" ht="14.4" customHeight="1" x14ac:dyDescent="0.35">
      <c r="A14" s="177" t="s">
        <v>96</v>
      </c>
      <c r="B14" s="188">
        <f>250176.855321163+24165.38+3.09+0.25</f>
        <v>274345.57532116299</v>
      </c>
      <c r="C14" s="188">
        <f>252656.728438796+26943.69+0.29</f>
        <v>279600.70843879599</v>
      </c>
      <c r="D14" s="188">
        <f>241335.349977959+30717.875+0.28</f>
        <v>272053.50497795903</v>
      </c>
      <c r="E14" s="188">
        <f>236717.949067766+33915.01+0.276</f>
        <v>270633.23506776599</v>
      </c>
      <c r="F14" s="189">
        <f>234184.870423243+37444.91+0.27</f>
        <v>271630.05042324302</v>
      </c>
      <c r="G14" s="150"/>
    </row>
    <row r="15" spans="1:45" ht="14.4" customHeight="1" x14ac:dyDescent="0.35">
      <c r="A15" s="177" t="s">
        <v>97</v>
      </c>
      <c r="B15" s="186">
        <f>30288.4792368631+10.62+19946.22+6500.76+116.5696</f>
        <v>56862.648836863103</v>
      </c>
      <c r="C15" s="186">
        <f>33437.4037304162+10.9+15659.62+6481.36+113.39</f>
        <v>55702.673730416202</v>
      </c>
      <c r="D15" s="186">
        <f>30786.3681472996+11.46+16520.7+6455.14+107.83</f>
        <v>53881.498147299601</v>
      </c>
      <c r="E15" s="186">
        <f>28705.3148020169+12.04+17120.15+6395.63+102.55</f>
        <v>52335.684802016905</v>
      </c>
      <c r="F15" s="187">
        <f>27887.713084164+12.66+17868.33+6295.79+97.52</f>
        <v>52162.013084163998</v>
      </c>
      <c r="G15" s="150"/>
    </row>
    <row r="16" spans="1:45" ht="14.4" customHeight="1" x14ac:dyDescent="0.35">
      <c r="A16" s="177" t="s">
        <v>98</v>
      </c>
      <c r="B16" s="188">
        <f>30288.4792368631+10.62+19946.22+6500.76</f>
        <v>56746.079236863101</v>
      </c>
      <c r="C16" s="188">
        <f>33437.4037304162+10.9+15659.62+6481.36</f>
        <v>55589.283730416202</v>
      </c>
      <c r="D16" s="188">
        <f>30786.3681472996+11.46+16520.7+6455.14</f>
        <v>53773.668147299599</v>
      </c>
      <c r="E16" s="188">
        <f>28705.3148020169+12.04+17120.15+6395.63</f>
        <v>52233.134802016903</v>
      </c>
      <c r="F16" s="189">
        <f>27887.713084164+12.66+17868.33+6295.79</f>
        <v>52064.493084164002</v>
      </c>
      <c r="G16" s="150"/>
    </row>
    <row r="17" spans="1:7" ht="14.4" customHeight="1" x14ac:dyDescent="0.35">
      <c r="A17" s="177" t="s">
        <v>99</v>
      </c>
      <c r="B17" s="186">
        <f>1456.91035652844+172.36+13048.377+416.09+66.1175</f>
        <v>15159.85485652844</v>
      </c>
      <c r="C17" s="186">
        <f>984.070161748704+190.34+10618.64+423.77+63.91</f>
        <v>12280.730161748703</v>
      </c>
      <c r="D17" s="186">
        <f>899.073560973144+214.27+10329+413.42+60.78</f>
        <v>11916.543560973145</v>
      </c>
      <c r="E17" s="186">
        <f>847.750419944922+225.2+9751.79+399.85+57.8</f>
        <v>11282.390419944923</v>
      </c>
      <c r="F17" s="187">
        <f>840.461054498713+236.68+8235.31+382.86+54.97</f>
        <v>9750.2810544987133</v>
      </c>
      <c r="G17" s="150"/>
    </row>
    <row r="18" spans="1:7" ht="14.4" customHeight="1" x14ac:dyDescent="0.35">
      <c r="A18" s="177" t="s">
        <v>100</v>
      </c>
      <c r="B18" s="188">
        <f>1456.91035652844+172.36+13048.377+416.09</f>
        <v>15093.73735652844</v>
      </c>
      <c r="C18" s="188">
        <f>984.070161748704+190.34+10618.64+423.77</f>
        <v>12216.820161748703</v>
      </c>
      <c r="D18" s="188">
        <f>899.073560973144+214.27+10329+413.42</f>
        <v>11855.763560973144</v>
      </c>
      <c r="E18" s="188">
        <f>847.750419944922+225.2+9751.79+399.866</f>
        <v>11224.606419944923</v>
      </c>
      <c r="F18" s="189">
        <f>840.461054498713+236.68+8235.31+382.87</f>
        <v>9695.3210544987141</v>
      </c>
      <c r="G18" s="150"/>
    </row>
    <row r="19" spans="1:7" x14ac:dyDescent="0.35">
      <c r="A19" s="177" t="s">
        <v>101</v>
      </c>
      <c r="B19" s="190">
        <v>2648.53</v>
      </c>
      <c r="C19" s="188">
        <v>2728.7967347556264</v>
      </c>
      <c r="D19" s="188">
        <v>2867.9927929082278</v>
      </c>
      <c r="E19" s="188">
        <v>3014.2892489609162</v>
      </c>
      <c r="F19" s="189">
        <v>3168.04</v>
      </c>
      <c r="G19" s="150"/>
    </row>
    <row r="20" spans="1:7" x14ac:dyDescent="0.35">
      <c r="A20" s="177" t="s">
        <v>102</v>
      </c>
      <c r="B20" s="190">
        <v>7.38</v>
      </c>
      <c r="C20" s="190">
        <v>7.61</v>
      </c>
      <c r="D20" s="190">
        <v>8</v>
      </c>
      <c r="E20" s="190">
        <v>8.41</v>
      </c>
      <c r="F20" s="191">
        <v>8.83</v>
      </c>
      <c r="G20" s="150"/>
    </row>
    <row r="21" spans="1:7" x14ac:dyDescent="0.35">
      <c r="A21" s="177" t="s">
        <v>103</v>
      </c>
      <c r="B21" s="190">
        <v>2.5299999999999998</v>
      </c>
      <c r="C21" s="190">
        <v>2.62</v>
      </c>
      <c r="D21" s="190">
        <v>2.75</v>
      </c>
      <c r="E21" s="190">
        <v>2.89</v>
      </c>
      <c r="F21" s="191">
        <v>3.04</v>
      </c>
      <c r="G21" s="150"/>
    </row>
    <row r="22" spans="1:7" x14ac:dyDescent="0.35">
      <c r="A22" s="177" t="s">
        <v>104</v>
      </c>
      <c r="B22" s="192"/>
      <c r="C22" s="192"/>
      <c r="D22" s="192"/>
      <c r="E22" s="192"/>
      <c r="F22" s="193"/>
      <c r="G22" s="150"/>
    </row>
    <row r="23" spans="1:7" x14ac:dyDescent="0.35">
      <c r="A23" s="177" t="s">
        <v>93</v>
      </c>
      <c r="B23" s="192"/>
      <c r="C23" s="192"/>
      <c r="D23" s="192"/>
      <c r="E23" s="192"/>
      <c r="F23" s="193"/>
      <c r="G23" s="150"/>
    </row>
    <row r="24" spans="1:7" x14ac:dyDescent="0.35">
      <c r="A24" s="179" t="s">
        <v>105</v>
      </c>
      <c r="B24" s="194">
        <f>B5+B6+B7+B8+B9+B10</f>
        <v>352973.0266858082</v>
      </c>
      <c r="C24" s="194">
        <f>C5+C6+C7+C8+C9+C10</f>
        <v>346291.302795136</v>
      </c>
      <c r="D24" s="194">
        <f t="shared" ref="D24:F24" si="0">D5+D6+D7+D8+D9+D10</f>
        <v>322686.9980168445</v>
      </c>
      <c r="E24" s="194">
        <f t="shared" si="0"/>
        <v>304846.12658958882</v>
      </c>
      <c r="F24" s="195">
        <f t="shared" si="0"/>
        <v>288171.9354892156</v>
      </c>
      <c r="G24" s="150"/>
    </row>
    <row r="25" spans="1:7" x14ac:dyDescent="0.35">
      <c r="A25" s="180" t="s">
        <v>106</v>
      </c>
      <c r="B25" s="196">
        <f>B5+B6+B7+B8+B10</f>
        <v>348843.83291914116</v>
      </c>
      <c r="C25" s="196">
        <f t="shared" ref="C25:F25" si="1">C5+C6+C7+C8+C10</f>
        <v>350145.84279513598</v>
      </c>
      <c r="D25" s="196">
        <f t="shared" si="1"/>
        <v>340561.6780168445</v>
      </c>
      <c r="E25" s="196">
        <f t="shared" si="1"/>
        <v>337116.55658958881</v>
      </c>
      <c r="F25" s="197">
        <f t="shared" si="1"/>
        <v>336569.76548921561</v>
      </c>
      <c r="G25" s="150"/>
    </row>
    <row r="26" spans="1:7" s="1" customFormat="1" ht="16.5" x14ac:dyDescent="0.35">
      <c r="A26" s="1" t="s">
        <v>123</v>
      </c>
    </row>
    <row r="27" spans="1:7" s="1" customFormat="1" x14ac:dyDescent="0.35">
      <c r="A27" s="1" t="s">
        <v>118</v>
      </c>
    </row>
    <row r="28" spans="1:7" s="1" customFormat="1" x14ac:dyDescent="0.35">
      <c r="A28" s="1" t="s">
        <v>12</v>
      </c>
    </row>
    <row r="29" spans="1:7" s="1" customFormat="1" ht="16.5" x14ac:dyDescent="0.35">
      <c r="A29" s="1" t="s">
        <v>124</v>
      </c>
    </row>
    <row r="30" spans="1:7" s="1" customFormat="1" x14ac:dyDescent="0.35">
      <c r="A30" s="1" t="s">
        <v>119</v>
      </c>
    </row>
    <row r="31" spans="1:7" s="1" customFormat="1" ht="16.5" x14ac:dyDescent="0.35">
      <c r="A31" s="1" t="s">
        <v>125</v>
      </c>
    </row>
    <row r="32" spans="1:7" s="1" customFormat="1" x14ac:dyDescent="0.35">
      <c r="A32" s="1" t="s">
        <v>120</v>
      </c>
    </row>
    <row r="33" spans="1:1" s="1" customFormat="1" x14ac:dyDescent="0.35">
      <c r="A33" s="1" t="s">
        <v>121</v>
      </c>
    </row>
    <row r="34" spans="1:1" s="1" customFormat="1" x14ac:dyDescent="0.35">
      <c r="A34" s="1" t="s">
        <v>122</v>
      </c>
    </row>
    <row r="35" spans="1:1" s="1" customFormat="1" ht="16.5" x14ac:dyDescent="0.35">
      <c r="A35" s="1" t="s">
        <v>117</v>
      </c>
    </row>
    <row r="36" spans="1:1" s="1" customFormat="1" x14ac:dyDescent="0.35"/>
    <row r="37" spans="1:1" s="1" customFormat="1" x14ac:dyDescent="0.35"/>
    <row r="38" spans="1:1" s="1" customFormat="1" x14ac:dyDescent="0.35"/>
    <row r="39" spans="1:1" s="1" customFormat="1" x14ac:dyDescent="0.35"/>
    <row r="40" spans="1:1" s="1" customFormat="1" x14ac:dyDescent="0.35"/>
    <row r="41" spans="1:1" s="1" customFormat="1" x14ac:dyDescent="0.35"/>
    <row r="42" spans="1:1" s="1" customFormat="1" x14ac:dyDescent="0.35"/>
    <row r="43" spans="1:1" s="1" customFormat="1" x14ac:dyDescent="0.35"/>
    <row r="44" spans="1:1" s="1" customFormat="1" x14ac:dyDescent="0.35"/>
    <row r="45" spans="1:1" s="1" customFormat="1" x14ac:dyDescent="0.35"/>
    <row r="46" spans="1:1" s="1" customFormat="1" x14ac:dyDescent="0.35"/>
    <row r="47" spans="1:1" s="1" customFormat="1" x14ac:dyDescent="0.35"/>
    <row r="48" spans="1:1"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sheetData>
  <sheetProtection formatCells="0" formatColumns="0" formatRows="0" insertColumns="0" deleteColumns="0"/>
  <mergeCells count="2">
    <mergeCell ref="A1:F1"/>
    <mergeCell ref="C2:F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H274"/>
  <sheetViews>
    <sheetView tabSelected="1" zoomScaleNormal="100" workbookViewId="0">
      <pane ySplit="3" topLeftCell="A4" activePane="bottomLeft" state="frozen"/>
      <selection pane="bottomLeft" activeCell="I22" sqref="I22"/>
    </sheetView>
  </sheetViews>
  <sheetFormatPr defaultRowHeight="14.5" x14ac:dyDescent="0.35"/>
  <cols>
    <col min="1" max="1" width="39.90625" customWidth="1"/>
    <col min="2" max="2" width="19.36328125" customWidth="1"/>
    <col min="3" max="3" width="18" customWidth="1"/>
    <col min="4" max="5" width="16.08984375" customWidth="1"/>
    <col min="6" max="6" width="13" customWidth="1"/>
    <col min="7" max="60" width="8.90625" style="1"/>
  </cols>
  <sheetData>
    <row r="1" spans="1:7" ht="36.65" customHeight="1" x14ac:dyDescent="0.45">
      <c r="A1" s="328" t="s">
        <v>168</v>
      </c>
      <c r="B1" s="328"/>
      <c r="C1" s="328"/>
      <c r="D1" s="328"/>
      <c r="E1" s="328"/>
      <c r="F1" s="328"/>
    </row>
    <row r="2" spans="1:7" ht="63.65" customHeight="1" x14ac:dyDescent="0.35">
      <c r="A2" s="173"/>
      <c r="B2" s="175" t="s">
        <v>107</v>
      </c>
      <c r="C2" s="326" t="s">
        <v>108</v>
      </c>
      <c r="D2" s="326"/>
      <c r="E2" s="326"/>
      <c r="F2" s="327"/>
    </row>
    <row r="3" spans="1:7" ht="18.649999999999999" customHeight="1" x14ac:dyDescent="0.35">
      <c r="A3" s="174"/>
      <c r="B3" s="57">
        <v>2022</v>
      </c>
      <c r="C3" s="57">
        <v>2025</v>
      </c>
      <c r="D3" s="57">
        <v>2030</v>
      </c>
      <c r="E3" s="57">
        <v>2035</v>
      </c>
      <c r="F3" s="165">
        <v>2040</v>
      </c>
    </row>
    <row r="4" spans="1:7" ht="16.5" x14ac:dyDescent="0.35">
      <c r="A4" s="176" t="s">
        <v>169</v>
      </c>
      <c r="B4" s="88"/>
      <c r="C4" s="88"/>
      <c r="D4" s="88"/>
      <c r="E4" s="88"/>
      <c r="F4" s="181"/>
    </row>
    <row r="5" spans="1:7" x14ac:dyDescent="0.35">
      <c r="A5" s="177" t="s">
        <v>87</v>
      </c>
      <c r="B5" s="182">
        <v>253947.73618572546</v>
      </c>
      <c r="C5" s="182">
        <v>272108.70141671808</v>
      </c>
      <c r="D5" s="182">
        <v>303202.61262581527</v>
      </c>
      <c r="E5" s="182">
        <v>319799.43667610962</v>
      </c>
      <c r="F5" s="201">
        <v>344440.40509979281</v>
      </c>
      <c r="G5" s="150"/>
    </row>
    <row r="6" spans="1:7" x14ac:dyDescent="0.35">
      <c r="A6" s="177" t="s">
        <v>88</v>
      </c>
      <c r="B6" s="182">
        <v>27974.508728829114</v>
      </c>
      <c r="C6" s="182">
        <v>32490.289101739043</v>
      </c>
      <c r="D6" s="182">
        <v>37049.437751900543</v>
      </c>
      <c r="E6" s="182">
        <v>40041.874131185788</v>
      </c>
      <c r="F6" s="201">
        <v>44586.866233012333</v>
      </c>
      <c r="G6" s="150"/>
    </row>
    <row r="7" spans="1:7" x14ac:dyDescent="0.35">
      <c r="A7" s="177" t="s">
        <v>89</v>
      </c>
      <c r="B7" s="182">
        <v>27006.798875238153</v>
      </c>
      <c r="C7" s="182">
        <v>31663.839680040655</v>
      </c>
      <c r="D7" s="182">
        <v>39675.719999999994</v>
      </c>
      <c r="E7" s="182">
        <v>46790.13</v>
      </c>
      <c r="F7" s="201">
        <v>55214.170000000006</v>
      </c>
      <c r="G7" s="150"/>
    </row>
    <row r="8" spans="1:7" x14ac:dyDescent="0.35">
      <c r="A8" s="177" t="s">
        <v>90</v>
      </c>
      <c r="B8" s="182">
        <v>32997.684880000001</v>
      </c>
      <c r="C8" s="182">
        <v>34041.599999999999</v>
      </c>
      <c r="D8" s="182">
        <v>36755.56</v>
      </c>
      <c r="E8" s="182">
        <v>39653.83</v>
      </c>
      <c r="F8" s="201">
        <v>43006.35</v>
      </c>
      <c r="G8" s="150"/>
    </row>
    <row r="9" spans="1:7" x14ac:dyDescent="0.35">
      <c r="A9" s="177" t="s">
        <v>91</v>
      </c>
      <c r="B9" s="182">
        <v>4129.1937666670283</v>
      </c>
      <c r="C9" s="182">
        <v>7382.67</v>
      </c>
      <c r="D9" s="182">
        <v>13104.810000000001</v>
      </c>
      <c r="E9" s="182">
        <v>19241.370000000003</v>
      </c>
      <c r="F9" s="201">
        <v>25842.799999999999</v>
      </c>
      <c r="G9" s="150"/>
    </row>
    <row r="10" spans="1:7" x14ac:dyDescent="0.35">
      <c r="A10" s="177" t="s">
        <v>92</v>
      </c>
      <c r="B10" s="182">
        <v>6917.1042493484001</v>
      </c>
      <c r="C10" s="182">
        <v>7317.6630932300004</v>
      </c>
      <c r="D10" s="182">
        <v>8059.7817140199995</v>
      </c>
      <c r="E10" s="182">
        <v>8906.2629465099981</v>
      </c>
      <c r="F10" s="201">
        <v>9883.7952731000023</v>
      </c>
      <c r="G10" s="150"/>
    </row>
    <row r="11" spans="1:7" x14ac:dyDescent="0.35">
      <c r="A11" s="178" t="s">
        <v>93</v>
      </c>
      <c r="B11" s="225"/>
      <c r="C11" s="225"/>
      <c r="D11" s="225"/>
      <c r="E11" s="225"/>
      <c r="F11" s="226"/>
      <c r="G11" s="150"/>
    </row>
    <row r="12" spans="1:7" x14ac:dyDescent="0.35">
      <c r="A12" s="176" t="s">
        <v>94</v>
      </c>
      <c r="B12" s="227"/>
      <c r="C12" s="227"/>
      <c r="D12" s="227"/>
      <c r="E12" s="227"/>
      <c r="F12" s="228"/>
      <c r="G12" s="150"/>
    </row>
    <row r="13" spans="1:7" x14ac:dyDescent="0.35">
      <c r="A13" s="177" t="s">
        <v>95</v>
      </c>
      <c r="B13" s="186">
        <f>250176.855321163+24165.38+3.09+0.25+3946.50667</f>
        <v>278292.08199116297</v>
      </c>
      <c r="C13" s="229">
        <f>268836.288594747+28668.55+0.298+7194.62</f>
        <v>304699.75659474701</v>
      </c>
      <c r="D13" s="229">
        <f>302316.672357094+36409.82+0.3+12907.16</f>
        <v>351633.95235709398</v>
      </c>
      <c r="E13" s="229">
        <f>322018.241412832+43243.45+0.304+19033.64</f>
        <v>384295.63541283202</v>
      </c>
      <c r="F13" s="230">
        <f>350427.969336497+51359.65+0.3+25624.48</f>
        <v>427412.39933649701</v>
      </c>
      <c r="G13" s="150"/>
    </row>
    <row r="14" spans="1:7" x14ac:dyDescent="0.35">
      <c r="A14" s="177" t="s">
        <v>96</v>
      </c>
      <c r="B14" s="188">
        <f>250176.855321163+24165.38+3.09+0.25</f>
        <v>274345.57532116299</v>
      </c>
      <c r="C14" s="182">
        <f>268836.288594747+28668.55+0.298</f>
        <v>297505.13659474702</v>
      </c>
      <c r="D14" s="182">
        <f>302316.672357094+36409.82+0.3</f>
        <v>338726.792357094</v>
      </c>
      <c r="E14" s="182">
        <f>322018.241412832+43243.45+0.304</f>
        <v>365261.99541283201</v>
      </c>
      <c r="F14" s="201">
        <f>350427.969336497+51359.65+0.3</f>
        <v>401787.91933649703</v>
      </c>
      <c r="G14" s="150"/>
    </row>
    <row r="15" spans="1:7" x14ac:dyDescent="0.35">
      <c r="A15" s="177" t="s">
        <v>97</v>
      </c>
      <c r="B15" s="186">
        <f>30288.4792368631+10.62+19946.22+6500.76+116.5696</f>
        <v>56862.648836863103</v>
      </c>
      <c r="C15" s="229">
        <f>34686.9808863291+10.9+21637.63+6872.69+120.31</f>
        <v>63328.510886329095</v>
      </c>
      <c r="D15" s="229">
        <f>36749.8009821121+11.46+23105.41+7586.86+126.45</f>
        <v>67579.980982112102</v>
      </c>
      <c r="E15" s="229">
        <f>36572.2579598042+12.04+24642.75+8403.78+132.9</f>
        <v>69763.727959804193</v>
      </c>
      <c r="F15" s="230">
        <f>37249.1307727557+12.66+26436.59+9350.04+139.67</f>
        <v>73188.090772755691</v>
      </c>
      <c r="G15" s="150"/>
    </row>
    <row r="16" spans="1:7" x14ac:dyDescent="0.35">
      <c r="A16" s="177" t="s">
        <v>98</v>
      </c>
      <c r="B16" s="188">
        <f>30288.4792368631+10.62+19946.22+6500.76</f>
        <v>56746.079236863101</v>
      </c>
      <c r="C16" s="182">
        <f>34686.9808863291+10.9+21637.63+6872.69</f>
        <v>63208.200886329098</v>
      </c>
      <c r="D16" s="182">
        <f>36749.8009821121+11.46+23105.41+7586.86</f>
        <v>67453.530982112105</v>
      </c>
      <c r="E16" s="182">
        <f>36572.2579598042+12.04+24642.75+8403.78</f>
        <v>69630.827959804199</v>
      </c>
      <c r="F16" s="201">
        <f>37249.1307727557+12.66+26436.59+9350.04</f>
        <v>73048.420772755693</v>
      </c>
      <c r="G16" s="150"/>
    </row>
    <row r="17" spans="1:7" x14ac:dyDescent="0.35">
      <c r="A17" s="177" t="s">
        <v>99</v>
      </c>
      <c r="B17" s="186">
        <f>1456.91035652844+172.36+13048.377+416.09+66.1175</f>
        <v>15159.85485652844</v>
      </c>
      <c r="C17" s="229">
        <f>1075.72103738106+204.49+12403.97+444.677+67.74</f>
        <v>14196.598037381058</v>
      </c>
      <c r="D17" s="229">
        <f>1185.57703850987+259.7+13650.15+472.62+71.2</f>
        <v>15639.247038509871</v>
      </c>
      <c r="E17" s="229">
        <f>1250.81143465938+308.45+15011.08+502.181+74.83</f>
        <v>17147.35243465938</v>
      </c>
      <c r="F17" s="230">
        <f>1350.1712235526+366.34+16569.76+533.45+78.65</f>
        <v>18898.3712235526</v>
      </c>
      <c r="G17" s="150"/>
    </row>
    <row r="18" spans="1:7" x14ac:dyDescent="0.35">
      <c r="A18" s="177" t="s">
        <v>100</v>
      </c>
      <c r="B18" s="188">
        <f>1456.91035652844+172.36+13048.377+416.09</f>
        <v>15093.73735652844</v>
      </c>
      <c r="C18" s="182">
        <f>1075.72103738106+204.49+12403.97+444.677</f>
        <v>14128.858037381058</v>
      </c>
      <c r="D18" s="182">
        <f>1185.57703850987+259.7+13650.15+472.62</f>
        <v>15568.047038509871</v>
      </c>
      <c r="E18" s="182">
        <f>1250.81143465938+308.45+15011.08+502.181</f>
        <v>17072.522434659379</v>
      </c>
      <c r="F18" s="201">
        <f>1350.1712235526+366.34+16569.76+533.45</f>
        <v>18819.721223552599</v>
      </c>
      <c r="G18" s="150"/>
    </row>
    <row r="19" spans="1:7" x14ac:dyDescent="0.35">
      <c r="A19" s="177" t="s">
        <v>101</v>
      </c>
      <c r="B19" s="190">
        <v>2648.53</v>
      </c>
      <c r="C19" s="190">
        <v>2769.52</v>
      </c>
      <c r="D19" s="190">
        <v>2983.56</v>
      </c>
      <c r="E19" s="190">
        <v>3214.14</v>
      </c>
      <c r="F19" s="191">
        <v>3462.54</v>
      </c>
      <c r="G19" s="150"/>
    </row>
    <row r="20" spans="1:7" x14ac:dyDescent="0.35">
      <c r="A20" s="177" t="s">
        <v>102</v>
      </c>
      <c r="B20" s="190">
        <v>7.38</v>
      </c>
      <c r="C20" s="190">
        <v>7.72</v>
      </c>
      <c r="D20" s="190">
        <v>8.32</v>
      </c>
      <c r="E20" s="190">
        <v>8.9700000000000006</v>
      </c>
      <c r="F20" s="191">
        <v>9.66</v>
      </c>
      <c r="G20" s="150"/>
    </row>
    <row r="21" spans="1:7" x14ac:dyDescent="0.35">
      <c r="A21" s="177" t="s">
        <v>103</v>
      </c>
      <c r="B21" s="190">
        <v>2.5299999999999998</v>
      </c>
      <c r="C21" s="190">
        <v>2.66</v>
      </c>
      <c r="D21" s="190">
        <v>2.86</v>
      </c>
      <c r="E21" s="190">
        <v>3.08</v>
      </c>
      <c r="F21" s="191">
        <v>3.32</v>
      </c>
      <c r="G21" s="150"/>
    </row>
    <row r="22" spans="1:7" x14ac:dyDescent="0.35">
      <c r="A22" s="177" t="s">
        <v>104</v>
      </c>
      <c r="B22" s="192"/>
      <c r="C22" s="192"/>
      <c r="D22" s="192"/>
      <c r="E22" s="192"/>
      <c r="F22" s="193"/>
      <c r="G22" s="150"/>
    </row>
    <row r="23" spans="1:7" x14ac:dyDescent="0.35">
      <c r="A23" s="177" t="s">
        <v>93</v>
      </c>
      <c r="B23" s="192"/>
      <c r="C23" s="192"/>
      <c r="D23" s="192"/>
      <c r="E23" s="192"/>
      <c r="F23" s="193"/>
      <c r="G23" s="150"/>
    </row>
    <row r="24" spans="1:7" x14ac:dyDescent="0.35">
      <c r="A24" s="179" t="s">
        <v>105</v>
      </c>
      <c r="B24" s="221">
        <f>B5+B6+B7+B8+B9+B10</f>
        <v>352973.0266858082</v>
      </c>
      <c r="C24" s="221">
        <f t="shared" ref="C24:F24" si="0">C5+C6+C7+C8+C9+C10</f>
        <v>385004.76329172775</v>
      </c>
      <c r="D24" s="221">
        <f t="shared" si="0"/>
        <v>437847.92209173576</v>
      </c>
      <c r="E24" s="221">
        <f t="shared" si="0"/>
        <v>474432.90375380538</v>
      </c>
      <c r="F24" s="222">
        <f t="shared" si="0"/>
        <v>522974.38660590514</v>
      </c>
      <c r="G24" s="150"/>
    </row>
    <row r="25" spans="1:7" x14ac:dyDescent="0.35">
      <c r="A25" s="180" t="s">
        <v>106</v>
      </c>
      <c r="B25" s="223">
        <f>B5+B6+B7+B8+B10</f>
        <v>348843.83291914116</v>
      </c>
      <c r="C25" s="223">
        <f t="shared" ref="C25:F25" si="1">C5+C6+C7+C8+C10</f>
        <v>377622.09329172777</v>
      </c>
      <c r="D25" s="223">
        <f t="shared" si="1"/>
        <v>424743.11209173576</v>
      </c>
      <c r="E25" s="223">
        <f t="shared" si="1"/>
        <v>455191.53375380539</v>
      </c>
      <c r="F25" s="224">
        <f t="shared" si="1"/>
        <v>497131.58660590515</v>
      </c>
      <c r="G25" s="150"/>
    </row>
    <row r="26" spans="1:7" s="1" customFormat="1" ht="21" customHeight="1" x14ac:dyDescent="0.35">
      <c r="A26" s="1" t="s">
        <v>114</v>
      </c>
    </row>
    <row r="27" spans="1:7" s="1" customFormat="1" x14ac:dyDescent="0.35">
      <c r="A27" s="1" t="s">
        <v>109</v>
      </c>
    </row>
    <row r="28" spans="1:7" s="1" customFormat="1" ht="16.5" x14ac:dyDescent="0.35">
      <c r="A28" s="1" t="s">
        <v>140</v>
      </c>
    </row>
    <row r="29" spans="1:7" s="1" customFormat="1" x14ac:dyDescent="0.35">
      <c r="A29" s="1" t="s">
        <v>110</v>
      </c>
    </row>
    <row r="30" spans="1:7" s="1" customFormat="1" ht="16.5" x14ac:dyDescent="0.35">
      <c r="A30" s="1" t="s">
        <v>116</v>
      </c>
    </row>
    <row r="31" spans="1:7" s="1" customFormat="1" x14ac:dyDescent="0.35">
      <c r="A31" s="1" t="s">
        <v>111</v>
      </c>
    </row>
    <row r="32" spans="1:7" s="1" customFormat="1" x14ac:dyDescent="0.35">
      <c r="A32" s="1" t="s">
        <v>112</v>
      </c>
    </row>
    <row r="33" spans="1:1" s="1" customFormat="1" x14ac:dyDescent="0.35">
      <c r="A33" s="1" t="s">
        <v>113</v>
      </c>
    </row>
    <row r="34" spans="1:1" s="1" customFormat="1" ht="16.5" x14ac:dyDescent="0.35">
      <c r="A34" s="1" t="s">
        <v>117</v>
      </c>
    </row>
    <row r="35" spans="1:1" s="1" customFormat="1" x14ac:dyDescent="0.35"/>
    <row r="36" spans="1:1" s="1" customFormat="1" x14ac:dyDescent="0.35"/>
    <row r="37" spans="1:1" s="1" customFormat="1" x14ac:dyDescent="0.35"/>
    <row r="38" spans="1:1" s="1" customFormat="1" x14ac:dyDescent="0.35"/>
    <row r="39" spans="1:1" s="1" customFormat="1" x14ac:dyDescent="0.35"/>
    <row r="40" spans="1:1" s="1" customFormat="1" x14ac:dyDescent="0.35"/>
    <row r="41" spans="1:1" s="1" customFormat="1" x14ac:dyDescent="0.35"/>
    <row r="42" spans="1:1" s="1" customFormat="1" x14ac:dyDescent="0.35"/>
    <row r="43" spans="1:1" s="1" customFormat="1" x14ac:dyDescent="0.35"/>
    <row r="44" spans="1:1" s="1" customFormat="1" x14ac:dyDescent="0.35"/>
    <row r="45" spans="1:1" s="1" customFormat="1" x14ac:dyDescent="0.35"/>
    <row r="46" spans="1:1" s="1" customFormat="1" x14ac:dyDescent="0.35"/>
    <row r="47" spans="1:1" s="1" customFormat="1" x14ac:dyDescent="0.35"/>
    <row r="48" spans="1:1"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row r="254" s="1" customFormat="1" x14ac:dyDescent="0.35"/>
    <row r="255" s="1" customFormat="1" x14ac:dyDescent="0.35"/>
    <row r="256" s="1" customFormat="1" x14ac:dyDescent="0.35"/>
    <row r="257" s="1" customFormat="1" x14ac:dyDescent="0.35"/>
    <row r="258" s="1" customFormat="1" x14ac:dyDescent="0.35"/>
    <row r="259" s="1" customFormat="1" x14ac:dyDescent="0.35"/>
    <row r="260" s="1" customFormat="1" x14ac:dyDescent="0.35"/>
    <row r="261" s="1" customFormat="1" x14ac:dyDescent="0.35"/>
    <row r="262" s="1" customFormat="1" x14ac:dyDescent="0.35"/>
    <row r="263" s="1" customFormat="1" x14ac:dyDescent="0.35"/>
    <row r="264" s="1" customFormat="1" x14ac:dyDescent="0.35"/>
    <row r="265" s="1" customFormat="1" x14ac:dyDescent="0.35"/>
    <row r="266" s="1" customFormat="1" x14ac:dyDescent="0.35"/>
    <row r="267" s="1" customFormat="1" x14ac:dyDescent="0.35"/>
    <row r="268" s="1" customFormat="1" x14ac:dyDescent="0.35"/>
    <row r="269" s="1" customFormat="1" x14ac:dyDescent="0.35"/>
    <row r="270" s="1" customFormat="1" x14ac:dyDescent="0.35"/>
    <row r="271" s="1" customFormat="1" x14ac:dyDescent="0.35"/>
    <row r="272" s="1" customFormat="1" x14ac:dyDescent="0.35"/>
    <row r="273" s="1" customFormat="1" x14ac:dyDescent="0.35"/>
    <row r="274" s="1" customFormat="1" x14ac:dyDescent="0.35"/>
  </sheetData>
  <sheetProtection formatCells="0" formatColumns="0" formatRows="0" insertColumns="0" deleteColumns="0"/>
  <mergeCells count="2">
    <mergeCell ref="C2:F2"/>
    <mergeCell ref="A1:F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U189"/>
  <sheetViews>
    <sheetView workbookViewId="0">
      <pane ySplit="3" topLeftCell="A4" activePane="bottomLeft" state="frozen"/>
      <selection pane="bottomLeft" activeCell="F16" sqref="F16"/>
    </sheetView>
  </sheetViews>
  <sheetFormatPr defaultRowHeight="14.5" x14ac:dyDescent="0.35"/>
  <cols>
    <col min="1" max="1" width="39.90625" customWidth="1"/>
    <col min="2" max="2" width="15" customWidth="1"/>
    <col min="3" max="3" width="22.08984375" customWidth="1"/>
    <col min="4" max="6" width="12.08984375" customWidth="1"/>
    <col min="7" max="7" width="13.90625" customWidth="1"/>
    <col min="8" max="47" width="8.90625" style="1"/>
  </cols>
  <sheetData>
    <row r="1" spans="1:7" ht="18.649999999999999" customHeight="1" x14ac:dyDescent="0.45">
      <c r="A1" s="323" t="s">
        <v>141</v>
      </c>
      <c r="B1" s="323"/>
      <c r="C1" s="323"/>
      <c r="D1" s="323"/>
      <c r="E1" s="323"/>
      <c r="F1" s="323"/>
      <c r="G1" s="323"/>
    </row>
    <row r="2" spans="1:7" ht="61.4" customHeight="1" x14ac:dyDescent="0.35">
      <c r="A2" s="166" t="s">
        <v>163</v>
      </c>
      <c r="B2" s="170" t="s">
        <v>142</v>
      </c>
      <c r="C2" s="167" t="s">
        <v>143</v>
      </c>
      <c r="D2" s="324" t="s">
        <v>162</v>
      </c>
      <c r="E2" s="324"/>
      <c r="F2" s="324"/>
      <c r="G2" s="325"/>
    </row>
    <row r="3" spans="1:7" ht="18.649999999999999" customHeight="1" x14ac:dyDescent="0.35">
      <c r="A3" s="172"/>
      <c r="B3" s="156"/>
      <c r="C3" s="57">
        <v>2022</v>
      </c>
      <c r="D3" s="57">
        <v>2025</v>
      </c>
      <c r="E3" s="57">
        <v>2030</v>
      </c>
      <c r="F3" s="57">
        <v>2035</v>
      </c>
      <c r="G3" s="165">
        <v>2040</v>
      </c>
    </row>
    <row r="4" spans="1:7" x14ac:dyDescent="0.35">
      <c r="A4" s="231" t="s">
        <v>204</v>
      </c>
      <c r="B4" s="232" t="s">
        <v>344</v>
      </c>
      <c r="C4" s="163">
        <v>352973.02680580819</v>
      </c>
      <c r="D4" s="163">
        <v>367734.7618631277</v>
      </c>
      <c r="E4" s="164">
        <v>382780.20800223702</v>
      </c>
      <c r="F4" s="164">
        <v>396987.49222605606</v>
      </c>
      <c r="G4" s="233">
        <v>407264.39790045971</v>
      </c>
    </row>
    <row r="5" spans="1:7" x14ac:dyDescent="0.35">
      <c r="A5" s="234"/>
      <c r="B5" s="235"/>
      <c r="C5" s="235"/>
      <c r="D5" s="235"/>
      <c r="E5" s="235"/>
      <c r="F5" s="235"/>
      <c r="G5" s="236"/>
    </row>
    <row r="6" spans="1:7" s="1" customFormat="1" ht="28.75" customHeight="1" x14ac:dyDescent="0.35">
      <c r="A6" s="1" t="s">
        <v>444</v>
      </c>
    </row>
    <row r="7" spans="1:7" s="1" customFormat="1" ht="23.4" customHeight="1" x14ac:dyDescent="0.35">
      <c r="A7" s="1" t="s">
        <v>123</v>
      </c>
    </row>
    <row r="8" spans="1:7" s="1" customFormat="1" x14ac:dyDescent="0.35">
      <c r="A8" s="1" t="s">
        <v>118</v>
      </c>
    </row>
    <row r="9" spans="1:7" s="1" customFormat="1" x14ac:dyDescent="0.35">
      <c r="A9" s="1" t="s">
        <v>12</v>
      </c>
    </row>
    <row r="10" spans="1:7" s="1" customFormat="1" ht="16.5" x14ac:dyDescent="0.35">
      <c r="A10" s="1" t="s">
        <v>147</v>
      </c>
    </row>
    <row r="11" spans="1:7" s="1" customFormat="1" x14ac:dyDescent="0.35">
      <c r="A11" s="1" t="s">
        <v>119</v>
      </c>
    </row>
    <row r="12" spans="1:7" s="1" customFormat="1" ht="16.5" x14ac:dyDescent="0.35">
      <c r="A12" s="1" t="s">
        <v>148</v>
      </c>
    </row>
    <row r="13" spans="1:7" s="1" customFormat="1" x14ac:dyDescent="0.35">
      <c r="A13" s="1" t="s">
        <v>144</v>
      </c>
    </row>
    <row r="14" spans="1:7" s="1" customFormat="1" ht="16.5" x14ac:dyDescent="0.35">
      <c r="A14" s="1" t="s">
        <v>149</v>
      </c>
    </row>
    <row r="15" spans="1:7" s="1" customFormat="1" x14ac:dyDescent="0.35">
      <c r="A15" s="1" t="s">
        <v>145</v>
      </c>
    </row>
    <row r="16" spans="1:7" s="1" customFormat="1" x14ac:dyDescent="0.35">
      <c r="A16" s="1" t="s">
        <v>146</v>
      </c>
    </row>
    <row r="17" spans="1:1" s="1" customFormat="1" x14ac:dyDescent="0.35">
      <c r="A17" s="1" t="s">
        <v>12</v>
      </c>
    </row>
    <row r="18" spans="1:1" s="1" customFormat="1" x14ac:dyDescent="0.35"/>
    <row r="19" spans="1:1" s="1" customFormat="1" x14ac:dyDescent="0.35"/>
    <row r="20" spans="1:1" s="1" customFormat="1" x14ac:dyDescent="0.35"/>
    <row r="21" spans="1:1" s="1" customFormat="1" x14ac:dyDescent="0.35"/>
    <row r="22" spans="1:1" s="1" customFormat="1" x14ac:dyDescent="0.35"/>
    <row r="23" spans="1:1" s="1" customFormat="1" x14ac:dyDescent="0.35"/>
    <row r="24" spans="1:1" s="1" customFormat="1" x14ac:dyDescent="0.35"/>
    <row r="25" spans="1:1" s="1" customFormat="1" x14ac:dyDescent="0.35"/>
    <row r="26" spans="1:1" s="1" customFormat="1" x14ac:dyDescent="0.35"/>
    <row r="27" spans="1:1" s="1" customFormat="1" x14ac:dyDescent="0.35"/>
    <row r="28" spans="1:1" s="1" customFormat="1" x14ac:dyDescent="0.35"/>
    <row r="29" spans="1:1" s="1" customFormat="1" x14ac:dyDescent="0.35"/>
    <row r="30" spans="1:1" s="1" customFormat="1" x14ac:dyDescent="0.35"/>
    <row r="31" spans="1:1" s="1" customFormat="1" x14ac:dyDescent="0.35"/>
    <row r="32" spans="1:1"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sheetData>
  <sheetProtection formatCells="0" formatColumns="0" formatRows="0" insertColumns="0" insertRows="0" deleteColumns="0" deleteRows="0"/>
  <mergeCells count="2">
    <mergeCell ref="A1:G1"/>
    <mergeCell ref="D2:G2"/>
  </mergeCells>
  <conditionalFormatting sqref="A4">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208"/>
  <sheetViews>
    <sheetView workbookViewId="0">
      <pane ySplit="3" topLeftCell="A4" activePane="bottomLeft" state="frozen"/>
      <selection pane="bottomLeft" activeCell="I8" sqref="I8"/>
    </sheetView>
  </sheetViews>
  <sheetFormatPr defaultRowHeight="14.5" x14ac:dyDescent="0.35"/>
  <cols>
    <col min="1" max="1" width="34.453125" customWidth="1"/>
    <col min="2" max="2" width="15" customWidth="1"/>
    <col min="3" max="3" width="18.36328125" customWidth="1"/>
    <col min="4" max="6" width="12.08984375" customWidth="1"/>
    <col min="7" max="7" width="13.90625" customWidth="1"/>
    <col min="8" max="47" width="8.90625" style="1"/>
  </cols>
  <sheetData>
    <row r="1" spans="1:7" ht="18.649999999999999" customHeight="1" x14ac:dyDescent="0.45">
      <c r="A1" s="323" t="s">
        <v>150</v>
      </c>
      <c r="B1" s="323"/>
      <c r="C1" s="323"/>
      <c r="D1" s="323"/>
      <c r="E1" s="323"/>
      <c r="F1" s="323"/>
      <c r="G1" s="323"/>
    </row>
    <row r="2" spans="1:7" ht="98.4" customHeight="1" x14ac:dyDescent="0.35">
      <c r="A2" s="169" t="s">
        <v>164</v>
      </c>
      <c r="B2" s="170" t="s">
        <v>142</v>
      </c>
      <c r="C2" s="171" t="s">
        <v>143</v>
      </c>
      <c r="D2" s="324" t="s">
        <v>165</v>
      </c>
      <c r="E2" s="324"/>
      <c r="F2" s="324"/>
      <c r="G2" s="325"/>
    </row>
    <row r="3" spans="1:7" ht="18.649999999999999" customHeight="1" thickBot="1" x14ac:dyDescent="0.4">
      <c r="A3" s="168"/>
      <c r="B3" s="156"/>
      <c r="C3" s="57">
        <v>2022</v>
      </c>
      <c r="D3" s="57">
        <v>2025</v>
      </c>
      <c r="E3" s="57">
        <v>2030</v>
      </c>
      <c r="F3" s="57">
        <v>2035</v>
      </c>
      <c r="G3" s="165">
        <v>2040</v>
      </c>
    </row>
    <row r="4" spans="1:7" x14ac:dyDescent="0.35">
      <c r="A4" s="237" t="s">
        <v>252</v>
      </c>
      <c r="B4" s="232" t="s">
        <v>253</v>
      </c>
      <c r="C4" s="238">
        <v>19765</v>
      </c>
      <c r="D4" s="238">
        <v>20530</v>
      </c>
      <c r="E4" s="238">
        <v>21916</v>
      </c>
      <c r="F4" s="238">
        <v>22780</v>
      </c>
      <c r="G4" s="239">
        <v>24938</v>
      </c>
    </row>
    <row r="5" spans="1:7" x14ac:dyDescent="0.35">
      <c r="A5" s="240" t="s">
        <v>438</v>
      </c>
      <c r="B5" s="241" t="s">
        <v>432</v>
      </c>
      <c r="C5" s="242">
        <v>3.2</v>
      </c>
      <c r="D5" s="242">
        <v>6</v>
      </c>
      <c r="E5" s="242">
        <v>6.1</v>
      </c>
      <c r="F5" s="242">
        <v>6.1</v>
      </c>
      <c r="G5" s="243">
        <v>6.1</v>
      </c>
    </row>
    <row r="6" spans="1:7" x14ac:dyDescent="0.35">
      <c r="A6" s="240" t="s">
        <v>346</v>
      </c>
      <c r="B6" s="241" t="s">
        <v>355</v>
      </c>
      <c r="C6" s="190" t="s">
        <v>356</v>
      </c>
      <c r="D6" s="190" t="s">
        <v>357</v>
      </c>
      <c r="E6" s="190" t="s">
        <v>358</v>
      </c>
      <c r="F6" s="190">
        <v>23</v>
      </c>
      <c r="G6" s="191" t="s">
        <v>359</v>
      </c>
    </row>
    <row r="7" spans="1:7" x14ac:dyDescent="0.35">
      <c r="A7" s="240" t="s">
        <v>347</v>
      </c>
      <c r="B7" s="241" t="s">
        <v>345</v>
      </c>
      <c r="C7" s="190" t="s">
        <v>360</v>
      </c>
      <c r="D7" s="190" t="s">
        <v>353</v>
      </c>
      <c r="E7" s="190" t="s">
        <v>361</v>
      </c>
      <c r="F7" s="190" t="s">
        <v>354</v>
      </c>
      <c r="G7" s="191" t="s">
        <v>362</v>
      </c>
    </row>
    <row r="8" spans="1:7" x14ac:dyDescent="0.35">
      <c r="A8" s="240" t="s">
        <v>348</v>
      </c>
      <c r="B8" s="241" t="s">
        <v>363</v>
      </c>
      <c r="C8" s="190" t="s">
        <v>364</v>
      </c>
      <c r="D8" s="190" t="s">
        <v>365</v>
      </c>
      <c r="E8" s="190" t="s">
        <v>366</v>
      </c>
      <c r="F8" s="190" t="s">
        <v>367</v>
      </c>
      <c r="G8" s="191" t="s">
        <v>368</v>
      </c>
    </row>
    <row r="9" spans="1:7" x14ac:dyDescent="0.35">
      <c r="A9" s="240" t="s">
        <v>349</v>
      </c>
      <c r="B9" s="241" t="s">
        <v>345</v>
      </c>
      <c r="C9" s="190" t="s">
        <v>369</v>
      </c>
      <c r="D9" s="190" t="s">
        <v>369</v>
      </c>
      <c r="E9" s="190" t="s">
        <v>370</v>
      </c>
      <c r="F9" s="190" t="s">
        <v>371</v>
      </c>
      <c r="G9" s="191" t="s">
        <v>372</v>
      </c>
    </row>
    <row r="10" spans="1:7" x14ac:dyDescent="0.35">
      <c r="A10" s="240" t="s">
        <v>350</v>
      </c>
      <c r="B10" s="241" t="s">
        <v>345</v>
      </c>
      <c r="C10" s="190" t="s">
        <v>373</v>
      </c>
      <c r="D10" s="190" t="s">
        <v>373</v>
      </c>
      <c r="E10" s="190" t="s">
        <v>373</v>
      </c>
      <c r="F10" s="190" t="s">
        <v>373</v>
      </c>
      <c r="G10" s="191" t="s">
        <v>373</v>
      </c>
    </row>
    <row r="11" spans="1:7" x14ac:dyDescent="0.35">
      <c r="A11" s="240" t="s">
        <v>351</v>
      </c>
      <c r="B11" s="241" t="s">
        <v>345</v>
      </c>
      <c r="C11" s="188" t="s">
        <v>374</v>
      </c>
      <c r="D11" s="188" t="s">
        <v>375</v>
      </c>
      <c r="E11" s="188" t="s">
        <v>376</v>
      </c>
      <c r="F11" s="188" t="s">
        <v>377</v>
      </c>
      <c r="G11" s="191" t="s">
        <v>378</v>
      </c>
    </row>
    <row r="12" spans="1:7" x14ac:dyDescent="0.35">
      <c r="A12" s="234" t="s">
        <v>352</v>
      </c>
      <c r="B12" s="235" t="s">
        <v>345</v>
      </c>
      <c r="C12" s="244" t="s">
        <v>353</v>
      </c>
      <c r="D12" s="244" t="s">
        <v>353</v>
      </c>
      <c r="E12" s="244" t="s">
        <v>379</v>
      </c>
      <c r="F12" s="244" t="s">
        <v>380</v>
      </c>
      <c r="G12" s="245" t="s">
        <v>381</v>
      </c>
    </row>
    <row r="13" spans="1:7" s="1" customFormat="1" ht="37.25" customHeight="1" x14ac:dyDescent="0.35">
      <c r="A13" s="1" t="s">
        <v>151</v>
      </c>
    </row>
    <row r="14" spans="1:7" s="1" customFormat="1" ht="16.5" x14ac:dyDescent="0.35">
      <c r="A14" s="1" t="s">
        <v>123</v>
      </c>
    </row>
    <row r="15" spans="1:7" s="1" customFormat="1" x14ac:dyDescent="0.35">
      <c r="A15" s="1" t="s">
        <v>118</v>
      </c>
    </row>
    <row r="16" spans="1:7" s="1" customFormat="1" x14ac:dyDescent="0.35">
      <c r="A16" s="1" t="s">
        <v>12</v>
      </c>
    </row>
    <row r="17" spans="1:1" s="1" customFormat="1" ht="16.5" x14ac:dyDescent="0.35">
      <c r="A17" s="1" t="s">
        <v>166</v>
      </c>
    </row>
    <row r="18" spans="1:1" s="1" customFormat="1" x14ac:dyDescent="0.35">
      <c r="A18" s="1" t="s">
        <v>152</v>
      </c>
    </row>
    <row r="19" spans="1:1" s="1" customFormat="1" ht="16.5" x14ac:dyDescent="0.35">
      <c r="A19" s="1" t="s">
        <v>167</v>
      </c>
    </row>
    <row r="20" spans="1:1" s="1" customFormat="1" x14ac:dyDescent="0.35">
      <c r="A20" s="1" t="s">
        <v>153</v>
      </c>
    </row>
    <row r="21" spans="1:1" s="1" customFormat="1" x14ac:dyDescent="0.35">
      <c r="A21" s="1" t="s">
        <v>154</v>
      </c>
    </row>
    <row r="22" spans="1:1" s="1" customFormat="1" ht="16.5" x14ac:dyDescent="0.35">
      <c r="A22" s="1" t="s">
        <v>149</v>
      </c>
    </row>
    <row r="23" spans="1:1" s="1" customFormat="1" x14ac:dyDescent="0.35">
      <c r="A23" s="1" t="s">
        <v>145</v>
      </c>
    </row>
    <row r="24" spans="1:1" s="1" customFormat="1" x14ac:dyDescent="0.35">
      <c r="A24" s="1" t="s">
        <v>146</v>
      </c>
    </row>
    <row r="25" spans="1:1" s="1" customFormat="1" x14ac:dyDescent="0.35"/>
    <row r="26" spans="1:1" s="1" customFormat="1" x14ac:dyDescent="0.35"/>
    <row r="27" spans="1:1" s="1" customFormat="1" x14ac:dyDescent="0.35"/>
    <row r="28" spans="1:1" s="1" customFormat="1" x14ac:dyDescent="0.35"/>
    <row r="29" spans="1:1" s="1" customFormat="1" x14ac:dyDescent="0.35"/>
    <row r="30" spans="1:1" s="1" customFormat="1" x14ac:dyDescent="0.35"/>
    <row r="31" spans="1:1" s="1" customFormat="1" x14ac:dyDescent="0.35"/>
    <row r="32" spans="1:1"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sheetData>
  <sheetProtection formatCells="0" formatColumns="0" formatRows="0" insertColumns="0" insertRows="0" deleteColumns="0" deleteRows="0"/>
  <mergeCells count="2">
    <mergeCell ref="A1:G1"/>
    <mergeCell ref="D2:G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24"/>
  <sheetViews>
    <sheetView showGridLines="0" topLeftCell="A9" zoomScale="130" zoomScaleNormal="130" workbookViewId="0">
      <selection activeCell="C12" sqref="C12"/>
    </sheetView>
  </sheetViews>
  <sheetFormatPr defaultColWidth="9.08984375" defaultRowHeight="11.4" customHeight="1" x14ac:dyDescent="0.25"/>
  <cols>
    <col min="1" max="1" width="2.08984375" style="101" customWidth="1"/>
    <col min="2" max="2" width="60.90625" style="101" customWidth="1"/>
    <col min="3" max="3" width="120.90625" style="101" customWidth="1"/>
    <col min="4" max="4" width="9.08984375" style="101" customWidth="1"/>
    <col min="5" max="5" width="14.08984375" style="101" customWidth="1"/>
    <col min="6" max="6" width="9.08984375" style="101" customWidth="1"/>
    <col min="7" max="16384" width="9.08984375" style="101"/>
  </cols>
  <sheetData>
    <row r="1" spans="2:8" ht="15.75" customHeight="1" x14ac:dyDescent="0.3">
      <c r="B1" s="100"/>
      <c r="C1" s="100"/>
      <c r="H1" s="102"/>
    </row>
    <row r="2" spans="2:8" ht="15.75" customHeight="1" x14ac:dyDescent="0.35">
      <c r="B2" s="100" t="s">
        <v>397</v>
      </c>
      <c r="C2" s="100"/>
    </row>
    <row r="3" spans="2:8" ht="15.75" customHeight="1" x14ac:dyDescent="0.3">
      <c r="B3" s="100"/>
      <c r="C3" s="100"/>
      <c r="E3" s="103"/>
    </row>
    <row r="4" spans="2:8" ht="12.9" customHeight="1" x14ac:dyDescent="0.3">
      <c r="B4" s="104" t="s">
        <v>398</v>
      </c>
      <c r="C4" s="105"/>
    </row>
    <row r="5" spans="2:8" ht="12" customHeight="1" thickBot="1" x14ac:dyDescent="0.3">
      <c r="B5" s="106"/>
      <c r="C5" s="107"/>
    </row>
    <row r="6" spans="2:8" ht="25.4" customHeight="1" x14ac:dyDescent="0.25">
      <c r="B6" s="108"/>
      <c r="C6" s="109" t="s">
        <v>399</v>
      </c>
    </row>
    <row r="7" spans="2:8" ht="48.9" customHeight="1" x14ac:dyDescent="0.25">
      <c r="B7" s="110" t="s">
        <v>400</v>
      </c>
      <c r="C7" s="151" t="s">
        <v>440</v>
      </c>
    </row>
    <row r="8" spans="2:8" ht="26.15" customHeight="1" x14ac:dyDescent="0.25">
      <c r="B8" s="110" t="s">
        <v>401</v>
      </c>
      <c r="C8" s="159" t="s">
        <v>402</v>
      </c>
    </row>
    <row r="9" spans="2:8" ht="39.5" customHeight="1" x14ac:dyDescent="0.25">
      <c r="B9" s="110" t="s">
        <v>403</v>
      </c>
      <c r="C9" s="160" t="s">
        <v>431</v>
      </c>
    </row>
    <row r="10" spans="2:8" ht="12.9" customHeight="1" x14ac:dyDescent="0.25">
      <c r="B10" s="110" t="s">
        <v>404</v>
      </c>
      <c r="C10" s="151" t="s">
        <v>405</v>
      </c>
    </row>
    <row r="11" spans="2:8" ht="78.5" customHeight="1" x14ac:dyDescent="0.25">
      <c r="B11" s="110" t="s">
        <v>406</v>
      </c>
      <c r="C11" s="151" t="s">
        <v>439</v>
      </c>
    </row>
    <row r="12" spans="2:8" ht="26.15" customHeight="1" x14ac:dyDescent="0.25">
      <c r="B12" s="110" t="s">
        <v>407</v>
      </c>
      <c r="C12" s="111" t="s">
        <v>490</v>
      </c>
    </row>
    <row r="13" spans="2:8" ht="15.9" customHeight="1" thickBot="1" x14ac:dyDescent="0.3">
      <c r="B13" s="112" t="s">
        <v>408</v>
      </c>
      <c r="C13" s="113" t="s">
        <v>409</v>
      </c>
    </row>
    <row r="14" spans="2:8" ht="15" customHeight="1" x14ac:dyDescent="0.25">
      <c r="B14" s="114"/>
      <c r="C14" s="115"/>
    </row>
    <row r="15" spans="2:8" ht="15" customHeight="1" x14ac:dyDescent="0.25">
      <c r="B15" s="116" t="s">
        <v>410</v>
      </c>
      <c r="C15" s="116"/>
    </row>
    <row r="16" spans="2:8" ht="15" customHeight="1" x14ac:dyDescent="0.25">
      <c r="B16" s="117" t="s">
        <v>411</v>
      </c>
      <c r="C16" s="117"/>
    </row>
    <row r="17" spans="2:3" ht="15" customHeight="1" x14ac:dyDescent="0.25">
      <c r="B17" s="117" t="s">
        <v>412</v>
      </c>
      <c r="C17" s="117"/>
    </row>
    <row r="18" spans="2:3" ht="15" customHeight="1" x14ac:dyDescent="0.25">
      <c r="B18" s="117" t="s">
        <v>413</v>
      </c>
      <c r="C18" s="117"/>
    </row>
    <row r="19" spans="2:3" ht="15" customHeight="1" x14ac:dyDescent="0.25">
      <c r="B19" s="117" t="s">
        <v>414</v>
      </c>
      <c r="C19" s="117"/>
    </row>
    <row r="20" spans="2:3" ht="15" customHeight="1" x14ac:dyDescent="0.25">
      <c r="B20" s="114"/>
      <c r="C20" s="115"/>
    </row>
    <row r="21" spans="2:3" ht="15" customHeight="1" x14ac:dyDescent="0.25">
      <c r="B21" s="114"/>
      <c r="C21" s="115"/>
    </row>
    <row r="22" spans="2:3" ht="11.5" x14ac:dyDescent="0.25">
      <c r="B22" s="102" t="s">
        <v>229</v>
      </c>
    </row>
    <row r="23" spans="2:3" ht="15" customHeight="1" x14ac:dyDescent="0.25"/>
    <row r="24" spans="2:3" ht="15" customHeight="1" x14ac:dyDescent="0.25"/>
    <row r="25" spans="2:3" ht="15" customHeight="1" x14ac:dyDescent="0.25">
      <c r="B25" s="118"/>
      <c r="C25" s="118"/>
    </row>
    <row r="26" spans="2:3" ht="15" customHeight="1" x14ac:dyDescent="0.25">
      <c r="B26" s="118"/>
      <c r="C26" s="118"/>
    </row>
    <row r="27" spans="2:3" ht="15" customHeight="1" x14ac:dyDescent="0.25">
      <c r="B27" s="118"/>
      <c r="C27" s="118"/>
    </row>
    <row r="28" spans="2:3" ht="15" customHeight="1" x14ac:dyDescent="0.25">
      <c r="B28" s="118"/>
      <c r="C28" s="118"/>
    </row>
    <row r="29" spans="2:3" ht="15" customHeight="1" x14ac:dyDescent="0.25">
      <c r="B29" s="118"/>
      <c r="C29" s="118"/>
    </row>
    <row r="30" spans="2:3" ht="15" customHeight="1" x14ac:dyDescent="0.25">
      <c r="B30" s="118"/>
      <c r="C30" s="118"/>
    </row>
    <row r="31" spans="2:3" ht="15" customHeight="1" x14ac:dyDescent="0.25">
      <c r="B31" s="118"/>
      <c r="C31" s="118"/>
    </row>
    <row r="32" spans="2:3" ht="15" customHeight="1" x14ac:dyDescent="0.25">
      <c r="B32" s="118"/>
      <c r="C32" s="118"/>
    </row>
    <row r="33" spans="2:3" ht="15" customHeight="1" x14ac:dyDescent="0.25">
      <c r="B33" s="118"/>
      <c r="C33" s="118"/>
    </row>
    <row r="34" spans="2:3" ht="15" customHeight="1" x14ac:dyDescent="0.25">
      <c r="B34" s="118"/>
      <c r="C34" s="118"/>
    </row>
    <row r="35" spans="2:3" ht="15" customHeight="1" x14ac:dyDescent="0.25">
      <c r="B35" s="118"/>
      <c r="C35" s="118"/>
    </row>
    <row r="36" spans="2:3" ht="15" customHeight="1" x14ac:dyDescent="0.25">
      <c r="B36" s="118"/>
      <c r="C36" s="118"/>
    </row>
    <row r="37" spans="2:3" ht="15" customHeight="1" x14ac:dyDescent="0.25">
      <c r="B37" s="118"/>
      <c r="C37" s="118"/>
    </row>
    <row r="38" spans="2:3" ht="15" customHeight="1" x14ac:dyDescent="0.25">
      <c r="B38" s="118"/>
      <c r="C38" s="118"/>
    </row>
    <row r="39" spans="2:3" ht="15" customHeight="1" x14ac:dyDescent="0.25">
      <c r="B39" s="118"/>
      <c r="C39" s="118"/>
    </row>
    <row r="40" spans="2:3" ht="15" customHeight="1" x14ac:dyDescent="0.25">
      <c r="B40" s="118"/>
      <c r="C40" s="118"/>
    </row>
    <row r="41" spans="2:3" ht="15" customHeight="1" x14ac:dyDescent="0.25">
      <c r="B41" s="118"/>
      <c r="C41" s="118"/>
    </row>
    <row r="42" spans="2:3" ht="15" customHeight="1" x14ac:dyDescent="0.25">
      <c r="B42" s="118"/>
      <c r="C42" s="118"/>
    </row>
    <row r="43" spans="2:3" ht="15" customHeight="1" x14ac:dyDescent="0.25">
      <c r="B43" s="118"/>
      <c r="C43" s="118"/>
    </row>
    <row r="44" spans="2:3" ht="15" customHeight="1" x14ac:dyDescent="0.25">
      <c r="B44" s="118"/>
      <c r="C44" s="118"/>
    </row>
    <row r="45" spans="2:3" ht="15" customHeight="1" x14ac:dyDescent="0.25">
      <c r="B45" s="118"/>
      <c r="C45" s="118"/>
    </row>
    <row r="46" spans="2:3" ht="15" customHeight="1" x14ac:dyDescent="0.25">
      <c r="B46" s="118"/>
      <c r="C46" s="118"/>
    </row>
    <row r="47" spans="2:3" ht="15" customHeight="1" x14ac:dyDescent="0.25">
      <c r="B47" s="118"/>
      <c r="C47" s="118"/>
    </row>
    <row r="48" spans="2:3" ht="15" customHeight="1" x14ac:dyDescent="0.25">
      <c r="B48" s="118"/>
      <c r="C48" s="118"/>
    </row>
    <row r="49" spans="2:3" ht="15" customHeight="1" x14ac:dyDescent="0.25">
      <c r="B49" s="118"/>
      <c r="C49" s="118"/>
    </row>
    <row r="50" spans="2:3" ht="15" customHeight="1" x14ac:dyDescent="0.25">
      <c r="B50" s="118"/>
      <c r="C50" s="118"/>
    </row>
    <row r="51" spans="2:3" ht="15" customHeight="1" x14ac:dyDescent="0.25">
      <c r="B51" s="118"/>
      <c r="C51" s="118"/>
    </row>
    <row r="52" spans="2:3" ht="15" customHeight="1" x14ac:dyDescent="0.25">
      <c r="B52" s="118"/>
      <c r="C52" s="118"/>
    </row>
    <row r="53" spans="2:3" ht="15" customHeight="1" x14ac:dyDescent="0.25">
      <c r="B53" s="118"/>
      <c r="C53" s="118"/>
    </row>
    <row r="54" spans="2:3" ht="15" customHeight="1" x14ac:dyDescent="0.25">
      <c r="B54" s="118"/>
      <c r="C54" s="118"/>
    </row>
    <row r="55" spans="2:3" ht="15" customHeight="1" x14ac:dyDescent="0.25">
      <c r="B55" s="118"/>
      <c r="C55" s="118"/>
    </row>
    <row r="56" spans="2:3" ht="15" customHeight="1" x14ac:dyDescent="0.25">
      <c r="B56" s="118"/>
      <c r="C56" s="118"/>
    </row>
    <row r="57" spans="2:3" ht="15" customHeight="1" x14ac:dyDescent="0.25">
      <c r="B57" s="118"/>
      <c r="C57" s="118"/>
    </row>
    <row r="58" spans="2:3" ht="15" customHeight="1" x14ac:dyDescent="0.25">
      <c r="B58" s="118"/>
      <c r="C58" s="118"/>
    </row>
    <row r="59" spans="2:3" ht="15" customHeight="1" x14ac:dyDescent="0.25">
      <c r="B59" s="118"/>
      <c r="C59" s="118"/>
    </row>
    <row r="60" spans="2:3" ht="15" customHeight="1" x14ac:dyDescent="0.25">
      <c r="B60" s="118"/>
      <c r="C60" s="118"/>
    </row>
    <row r="61" spans="2:3" ht="15" customHeight="1" x14ac:dyDescent="0.25">
      <c r="B61" s="118"/>
      <c r="C61" s="118"/>
    </row>
    <row r="62" spans="2:3" ht="15" customHeight="1" x14ac:dyDescent="0.25">
      <c r="B62" s="118"/>
      <c r="C62" s="118"/>
    </row>
    <row r="63" spans="2:3" ht="15" customHeight="1" x14ac:dyDescent="0.25">
      <c r="B63" s="118"/>
      <c r="C63" s="118"/>
    </row>
    <row r="64" spans="2:3" ht="15" customHeight="1" x14ac:dyDescent="0.25">
      <c r="B64" s="118"/>
      <c r="C64" s="118"/>
    </row>
    <row r="65" spans="2:3" ht="15" customHeight="1" x14ac:dyDescent="0.25">
      <c r="B65" s="118"/>
      <c r="C65" s="118"/>
    </row>
    <row r="66" spans="2:3" ht="15" customHeight="1" x14ac:dyDescent="0.25">
      <c r="B66" s="118"/>
      <c r="C66" s="118"/>
    </row>
    <row r="67" spans="2:3" ht="15" customHeight="1" x14ac:dyDescent="0.25">
      <c r="B67" s="118"/>
      <c r="C67" s="118"/>
    </row>
    <row r="68" spans="2:3" ht="15" customHeight="1" x14ac:dyDescent="0.25">
      <c r="B68" s="118"/>
      <c r="C68" s="118"/>
    </row>
    <row r="69" spans="2:3" ht="15" customHeight="1" x14ac:dyDescent="0.25">
      <c r="B69" s="118"/>
      <c r="C69" s="118"/>
    </row>
    <row r="70" spans="2:3" ht="15" customHeight="1" x14ac:dyDescent="0.25">
      <c r="B70" s="118"/>
      <c r="C70" s="118"/>
    </row>
    <row r="71" spans="2:3" ht="15" customHeight="1" x14ac:dyDescent="0.25">
      <c r="B71" s="118"/>
      <c r="C71" s="118"/>
    </row>
    <row r="72" spans="2:3" ht="15" customHeight="1" x14ac:dyDescent="0.25">
      <c r="B72" s="118"/>
      <c r="C72" s="118"/>
    </row>
    <row r="73" spans="2:3" ht="15" customHeight="1" x14ac:dyDescent="0.25">
      <c r="B73" s="118"/>
      <c r="C73" s="118"/>
    </row>
    <row r="74" spans="2:3" ht="15" customHeight="1" x14ac:dyDescent="0.25">
      <c r="B74" s="118"/>
      <c r="C74" s="118"/>
    </row>
    <row r="75" spans="2:3" ht="15" customHeight="1" x14ac:dyDescent="0.25">
      <c r="B75" s="118"/>
      <c r="C75" s="118"/>
    </row>
    <row r="76" spans="2:3" ht="15" customHeight="1" x14ac:dyDescent="0.25">
      <c r="B76" s="118"/>
      <c r="C76" s="118"/>
    </row>
    <row r="77" spans="2:3" ht="15" customHeight="1" x14ac:dyDescent="0.25">
      <c r="B77" s="118"/>
      <c r="C77" s="118"/>
    </row>
    <row r="78" spans="2:3" ht="15" customHeight="1" x14ac:dyDescent="0.25">
      <c r="B78" s="118"/>
      <c r="C78" s="118"/>
    </row>
    <row r="79" spans="2:3" ht="15" customHeight="1" x14ac:dyDescent="0.25">
      <c r="B79" s="118"/>
      <c r="C79" s="118"/>
    </row>
    <row r="80" spans="2:3" ht="15" customHeight="1" x14ac:dyDescent="0.25">
      <c r="B80" s="118"/>
      <c r="C80" s="118"/>
    </row>
    <row r="81" spans="2:3" ht="15" customHeight="1" x14ac:dyDescent="0.25">
      <c r="B81" s="118"/>
      <c r="C81" s="118"/>
    </row>
    <row r="82" spans="2:3" ht="15" customHeight="1" x14ac:dyDescent="0.25">
      <c r="B82" s="118"/>
      <c r="C82" s="118"/>
    </row>
    <row r="83" spans="2:3" ht="15" customHeight="1" x14ac:dyDescent="0.25">
      <c r="B83" s="118"/>
      <c r="C83" s="118"/>
    </row>
    <row r="84" spans="2:3" ht="15" customHeight="1" x14ac:dyDescent="0.25">
      <c r="B84" s="118"/>
      <c r="C84" s="118"/>
    </row>
    <row r="85" spans="2:3" ht="15" customHeight="1" x14ac:dyDescent="0.25">
      <c r="B85" s="118"/>
      <c r="C85" s="118"/>
    </row>
    <row r="86" spans="2:3" ht="15" customHeight="1" x14ac:dyDescent="0.25">
      <c r="B86" s="118"/>
      <c r="C86" s="118"/>
    </row>
    <row r="87" spans="2:3" ht="15" customHeight="1" x14ac:dyDescent="0.25">
      <c r="B87" s="118"/>
      <c r="C87" s="118"/>
    </row>
    <row r="88" spans="2:3" ht="15" customHeight="1" x14ac:dyDescent="0.25">
      <c r="B88" s="118"/>
      <c r="C88" s="118"/>
    </row>
    <row r="89" spans="2:3" ht="15" customHeight="1" x14ac:dyDescent="0.25">
      <c r="B89" s="118"/>
      <c r="C89" s="118"/>
    </row>
    <row r="90" spans="2:3" ht="15" customHeight="1" x14ac:dyDescent="0.25">
      <c r="B90" s="118"/>
      <c r="C90" s="118"/>
    </row>
    <row r="91" spans="2:3" ht="15" customHeight="1" x14ac:dyDescent="0.25">
      <c r="B91" s="118"/>
      <c r="C91" s="118"/>
    </row>
    <row r="92" spans="2:3" ht="15" customHeight="1" x14ac:dyDescent="0.25">
      <c r="B92" s="118"/>
      <c r="C92" s="118"/>
    </row>
    <row r="93" spans="2:3" ht="15" customHeight="1" x14ac:dyDescent="0.25">
      <c r="B93" s="118"/>
      <c r="C93" s="118"/>
    </row>
    <row r="94" spans="2:3" ht="15" customHeight="1" x14ac:dyDescent="0.25">
      <c r="B94" s="118"/>
      <c r="C94" s="118"/>
    </row>
    <row r="95" spans="2:3" ht="15" customHeight="1" x14ac:dyDescent="0.25">
      <c r="B95" s="118"/>
      <c r="C95" s="118"/>
    </row>
    <row r="96" spans="2:3" ht="15" customHeight="1" x14ac:dyDescent="0.25">
      <c r="B96" s="118"/>
      <c r="C96" s="118"/>
    </row>
    <row r="97" spans="2:3" ht="15" customHeight="1" x14ac:dyDescent="0.25">
      <c r="B97" s="118"/>
      <c r="C97" s="118"/>
    </row>
    <row r="98" spans="2:3" ht="15" customHeight="1" x14ac:dyDescent="0.25">
      <c r="B98" s="118"/>
      <c r="C98" s="118"/>
    </row>
    <row r="99" spans="2:3" ht="15" customHeight="1" x14ac:dyDescent="0.25">
      <c r="B99" s="118"/>
      <c r="C99" s="118"/>
    </row>
    <row r="100" spans="2:3" ht="15" customHeight="1" x14ac:dyDescent="0.25">
      <c r="B100" s="118"/>
      <c r="C100" s="118"/>
    </row>
    <row r="101" spans="2:3" ht="15" customHeight="1" x14ac:dyDescent="0.25">
      <c r="B101" s="118"/>
      <c r="C101" s="118"/>
    </row>
    <row r="102" spans="2:3" ht="15" customHeight="1" x14ac:dyDescent="0.25">
      <c r="B102" s="118"/>
      <c r="C102" s="118"/>
    </row>
    <row r="103" spans="2:3" ht="15" customHeight="1" x14ac:dyDescent="0.25">
      <c r="B103" s="118"/>
      <c r="C103" s="118"/>
    </row>
    <row r="104" spans="2:3" ht="15" customHeight="1" x14ac:dyDescent="0.25">
      <c r="B104" s="118"/>
      <c r="C104" s="118"/>
    </row>
    <row r="105" spans="2:3" ht="15" customHeight="1" x14ac:dyDescent="0.25">
      <c r="B105" s="118"/>
      <c r="C105" s="118"/>
    </row>
    <row r="106" spans="2:3" ht="15" customHeight="1" x14ac:dyDescent="0.25">
      <c r="B106" s="118"/>
      <c r="C106" s="118"/>
    </row>
    <row r="107" spans="2:3" ht="15" customHeight="1" x14ac:dyDescent="0.25">
      <c r="B107" s="118"/>
      <c r="C107" s="118"/>
    </row>
    <row r="108" spans="2:3" ht="15" customHeight="1" x14ac:dyDescent="0.25">
      <c r="B108" s="118"/>
      <c r="C108" s="118"/>
    </row>
    <row r="109" spans="2:3" ht="15" customHeight="1" x14ac:dyDescent="0.25">
      <c r="B109" s="118"/>
      <c r="C109" s="118"/>
    </row>
    <row r="110" spans="2:3" ht="15" customHeight="1" x14ac:dyDescent="0.25">
      <c r="B110" s="118"/>
      <c r="C110" s="118"/>
    </row>
    <row r="111" spans="2:3" ht="15" customHeight="1" x14ac:dyDescent="0.25">
      <c r="B111" s="118"/>
      <c r="C111" s="118"/>
    </row>
    <row r="112" spans="2:3" ht="15" customHeight="1" x14ac:dyDescent="0.25">
      <c r="B112" s="118"/>
      <c r="C112" s="118"/>
    </row>
    <row r="113" spans="2:3" ht="15" customHeight="1" x14ac:dyDescent="0.25">
      <c r="B113" s="118"/>
      <c r="C113" s="118"/>
    </row>
    <row r="114" spans="2:3" ht="15" customHeight="1" x14ac:dyDescent="0.25">
      <c r="B114" s="118"/>
      <c r="C114" s="118"/>
    </row>
    <row r="115" spans="2:3" ht="15" customHeight="1" x14ac:dyDescent="0.25">
      <c r="B115" s="118"/>
      <c r="C115" s="118"/>
    </row>
    <row r="116" spans="2:3" ht="15" customHeight="1" x14ac:dyDescent="0.25">
      <c r="B116" s="118"/>
      <c r="C116" s="118"/>
    </row>
    <row r="117" spans="2:3" ht="15" customHeight="1" x14ac:dyDescent="0.25">
      <c r="B117" s="118"/>
      <c r="C117" s="118"/>
    </row>
    <row r="118" spans="2:3" ht="15" customHeight="1" x14ac:dyDescent="0.25">
      <c r="B118" s="118"/>
      <c r="C118" s="118"/>
    </row>
    <row r="119" spans="2:3" ht="15" customHeight="1" x14ac:dyDescent="0.25">
      <c r="B119" s="118"/>
      <c r="C119" s="118"/>
    </row>
    <row r="120" spans="2:3" ht="15" customHeight="1" x14ac:dyDescent="0.25">
      <c r="B120" s="118"/>
      <c r="C120" s="118"/>
    </row>
    <row r="121" spans="2:3" ht="15" customHeight="1" x14ac:dyDescent="0.25">
      <c r="B121" s="118"/>
      <c r="C121" s="118"/>
    </row>
    <row r="122" spans="2:3" ht="15" customHeight="1" x14ac:dyDescent="0.25">
      <c r="B122" s="118"/>
      <c r="C122" s="118"/>
    </row>
    <row r="123" spans="2:3" ht="15" customHeight="1" x14ac:dyDescent="0.25">
      <c r="B123" s="118"/>
      <c r="C123" s="118"/>
    </row>
    <row r="124" spans="2:3" ht="15" customHeight="1" x14ac:dyDescent="0.25">
      <c r="B124" s="118"/>
      <c r="C124" s="118"/>
    </row>
    <row r="125" spans="2:3" ht="15" customHeight="1" x14ac:dyDescent="0.25">
      <c r="B125" s="118"/>
      <c r="C125" s="118"/>
    </row>
    <row r="126" spans="2:3" ht="15" customHeight="1" x14ac:dyDescent="0.25">
      <c r="B126" s="118"/>
      <c r="C126" s="118"/>
    </row>
    <row r="127" spans="2:3" ht="15" customHeight="1" x14ac:dyDescent="0.25">
      <c r="B127" s="118"/>
      <c r="C127" s="118"/>
    </row>
    <row r="128" spans="2:3" ht="15" customHeight="1" x14ac:dyDescent="0.25">
      <c r="B128" s="118"/>
      <c r="C128" s="118"/>
    </row>
    <row r="129" spans="2:3" ht="15" customHeight="1" x14ac:dyDescent="0.25">
      <c r="B129" s="118"/>
      <c r="C129" s="118"/>
    </row>
    <row r="130" spans="2:3" ht="15" customHeight="1" x14ac:dyDescent="0.25">
      <c r="B130" s="118"/>
      <c r="C130" s="118"/>
    </row>
    <row r="131" spans="2:3" ht="15" customHeight="1" x14ac:dyDescent="0.25">
      <c r="B131" s="118"/>
      <c r="C131" s="118"/>
    </row>
    <row r="132" spans="2:3" ht="15" customHeight="1" x14ac:dyDescent="0.25">
      <c r="B132" s="118"/>
      <c r="C132" s="118"/>
    </row>
    <row r="133" spans="2:3" ht="15" customHeight="1" x14ac:dyDescent="0.25">
      <c r="B133" s="118"/>
      <c r="C133" s="118"/>
    </row>
    <row r="134" spans="2:3" ht="15" customHeight="1" x14ac:dyDescent="0.25">
      <c r="B134" s="118"/>
      <c r="C134" s="118"/>
    </row>
    <row r="135" spans="2:3" ht="15" customHeight="1" x14ac:dyDescent="0.25">
      <c r="B135" s="118"/>
      <c r="C135" s="118"/>
    </row>
    <row r="136" spans="2:3" ht="15" customHeight="1" x14ac:dyDescent="0.25">
      <c r="B136" s="118"/>
      <c r="C136" s="118"/>
    </row>
    <row r="137" spans="2:3" ht="15" customHeight="1" x14ac:dyDescent="0.25">
      <c r="B137" s="118"/>
      <c r="C137" s="118"/>
    </row>
    <row r="138" spans="2:3" ht="15" customHeight="1" x14ac:dyDescent="0.25">
      <c r="B138" s="118"/>
      <c r="C138" s="118"/>
    </row>
    <row r="139" spans="2:3" ht="15" customHeight="1" x14ac:dyDescent="0.25">
      <c r="B139" s="118"/>
      <c r="C139" s="118"/>
    </row>
    <row r="140" spans="2:3" ht="15" customHeight="1" x14ac:dyDescent="0.25">
      <c r="B140" s="118"/>
      <c r="C140" s="118"/>
    </row>
    <row r="141" spans="2:3" ht="15" customHeight="1" x14ac:dyDescent="0.25">
      <c r="B141" s="118"/>
      <c r="C141" s="118"/>
    </row>
    <row r="142" spans="2:3" ht="15" customHeight="1" x14ac:dyDescent="0.25">
      <c r="B142" s="118"/>
      <c r="C142" s="118"/>
    </row>
    <row r="143" spans="2:3" ht="15" customHeight="1" x14ac:dyDescent="0.25">
      <c r="B143" s="118"/>
      <c r="C143" s="118"/>
    </row>
    <row r="144" spans="2:3" ht="15" customHeight="1" x14ac:dyDescent="0.25">
      <c r="B144" s="118"/>
      <c r="C144" s="118"/>
    </row>
    <row r="145" spans="2:3" ht="15" customHeight="1" x14ac:dyDescent="0.25">
      <c r="B145" s="118"/>
      <c r="C145" s="118"/>
    </row>
    <row r="146" spans="2:3" ht="15" customHeight="1" x14ac:dyDescent="0.25">
      <c r="B146" s="118"/>
      <c r="C146" s="118"/>
    </row>
    <row r="147" spans="2:3" ht="15" customHeight="1" x14ac:dyDescent="0.25">
      <c r="B147" s="118"/>
      <c r="C147" s="118"/>
    </row>
    <row r="148" spans="2:3" ht="15" customHeight="1" x14ac:dyDescent="0.25">
      <c r="B148" s="118"/>
      <c r="C148" s="118"/>
    </row>
    <row r="149" spans="2:3" ht="15" customHeight="1" x14ac:dyDescent="0.25">
      <c r="B149" s="118"/>
      <c r="C149" s="118"/>
    </row>
    <row r="150" spans="2:3" ht="15" customHeight="1" x14ac:dyDescent="0.25">
      <c r="B150" s="118"/>
      <c r="C150" s="118"/>
    </row>
    <row r="151" spans="2:3" ht="15" customHeight="1" x14ac:dyDescent="0.25">
      <c r="B151" s="118"/>
      <c r="C151" s="118"/>
    </row>
    <row r="152" spans="2:3" ht="15" customHeight="1" x14ac:dyDescent="0.25">
      <c r="B152" s="118"/>
      <c r="C152" s="118"/>
    </row>
    <row r="153" spans="2:3" ht="15" customHeight="1" x14ac:dyDescent="0.25">
      <c r="B153" s="118"/>
      <c r="C153" s="118"/>
    </row>
    <row r="154" spans="2:3" ht="15" customHeight="1" x14ac:dyDescent="0.25">
      <c r="B154" s="118"/>
      <c r="C154" s="118"/>
    </row>
    <row r="155" spans="2:3" ht="15" customHeight="1" x14ac:dyDescent="0.25">
      <c r="B155" s="118"/>
      <c r="C155" s="118"/>
    </row>
    <row r="156" spans="2:3" ht="15" customHeight="1" x14ac:dyDescent="0.25">
      <c r="B156" s="118"/>
      <c r="C156" s="118"/>
    </row>
    <row r="157" spans="2:3" ht="15" customHeight="1" x14ac:dyDescent="0.25">
      <c r="B157" s="118"/>
      <c r="C157" s="118"/>
    </row>
    <row r="158" spans="2:3" ht="15" customHeight="1" x14ac:dyDescent="0.25">
      <c r="B158" s="118"/>
      <c r="C158" s="118"/>
    </row>
    <row r="159" spans="2:3" ht="15" customHeight="1" x14ac:dyDescent="0.25">
      <c r="B159" s="118"/>
      <c r="C159" s="118"/>
    </row>
    <row r="160" spans="2:3" ht="15" customHeight="1" x14ac:dyDescent="0.25">
      <c r="B160" s="118"/>
      <c r="C160" s="118"/>
    </row>
    <row r="161" spans="2:3" ht="15" customHeight="1" x14ac:dyDescent="0.25">
      <c r="B161" s="118"/>
      <c r="C161" s="118"/>
    </row>
    <row r="162" spans="2:3" ht="15" customHeight="1" x14ac:dyDescent="0.25">
      <c r="B162" s="118"/>
      <c r="C162" s="118"/>
    </row>
    <row r="163" spans="2:3" ht="15" customHeight="1" x14ac:dyDescent="0.25">
      <c r="B163" s="118"/>
      <c r="C163" s="118"/>
    </row>
    <row r="164" spans="2:3" ht="15" customHeight="1" x14ac:dyDescent="0.25">
      <c r="B164" s="118"/>
      <c r="C164" s="118"/>
    </row>
    <row r="165" spans="2:3" ht="15" customHeight="1" x14ac:dyDescent="0.25">
      <c r="B165" s="118"/>
      <c r="C165" s="118"/>
    </row>
    <row r="166" spans="2:3" ht="15" customHeight="1" x14ac:dyDescent="0.25">
      <c r="B166" s="118"/>
      <c r="C166" s="118"/>
    </row>
    <row r="167" spans="2:3" ht="15" customHeight="1" x14ac:dyDescent="0.25">
      <c r="B167" s="118"/>
      <c r="C167" s="118"/>
    </row>
    <row r="168" spans="2:3" ht="15" customHeight="1" x14ac:dyDescent="0.25">
      <c r="B168" s="118"/>
      <c r="C168" s="118"/>
    </row>
    <row r="169" spans="2:3" ht="15" customHeight="1" x14ac:dyDescent="0.25">
      <c r="B169" s="118"/>
      <c r="C169" s="118"/>
    </row>
    <row r="170" spans="2:3" ht="15" customHeight="1" x14ac:dyDescent="0.25">
      <c r="B170" s="118"/>
      <c r="C170" s="118"/>
    </row>
    <row r="171" spans="2:3" ht="15" customHeight="1" x14ac:dyDescent="0.25">
      <c r="B171" s="118"/>
      <c r="C171" s="118"/>
    </row>
    <row r="172" spans="2:3" ht="15" customHeight="1" x14ac:dyDescent="0.25">
      <c r="B172" s="118"/>
      <c r="C172" s="118"/>
    </row>
    <row r="173" spans="2:3" ht="15" customHeight="1" x14ac:dyDescent="0.25">
      <c r="B173" s="118"/>
      <c r="C173" s="118"/>
    </row>
    <row r="174" spans="2:3" ht="15" customHeight="1" x14ac:dyDescent="0.25">
      <c r="B174" s="118"/>
      <c r="C174" s="118"/>
    </row>
    <row r="175" spans="2:3" ht="15" customHeight="1" x14ac:dyDescent="0.25">
      <c r="B175" s="118"/>
      <c r="C175" s="118"/>
    </row>
    <row r="176" spans="2:3" ht="15" customHeight="1" x14ac:dyDescent="0.25">
      <c r="B176" s="118"/>
      <c r="C176" s="118"/>
    </row>
    <row r="177" spans="2:3" ht="15" customHeight="1" x14ac:dyDescent="0.25">
      <c r="B177" s="118"/>
      <c r="C177" s="118"/>
    </row>
    <row r="178" spans="2:3" ht="15" customHeight="1" x14ac:dyDescent="0.25">
      <c r="B178" s="118"/>
      <c r="C178" s="118"/>
    </row>
    <row r="179" spans="2:3" ht="15" customHeight="1" x14ac:dyDescent="0.25">
      <c r="B179" s="118"/>
      <c r="C179" s="118"/>
    </row>
    <row r="180" spans="2:3" ht="15" customHeight="1" x14ac:dyDescent="0.25">
      <c r="B180" s="118"/>
      <c r="C180" s="118"/>
    </row>
    <row r="181" spans="2:3" ht="15" customHeight="1" x14ac:dyDescent="0.25">
      <c r="B181" s="118"/>
      <c r="C181" s="118"/>
    </row>
    <row r="182" spans="2:3" ht="15" customHeight="1" x14ac:dyDescent="0.25">
      <c r="B182" s="118"/>
      <c r="C182" s="118"/>
    </row>
    <row r="183" spans="2:3" ht="15" customHeight="1" x14ac:dyDescent="0.25">
      <c r="B183" s="118"/>
      <c r="C183" s="118"/>
    </row>
    <row r="184" spans="2:3" ht="15" customHeight="1" x14ac:dyDescent="0.25">
      <c r="B184" s="118"/>
      <c r="C184" s="118"/>
    </row>
    <row r="185" spans="2:3" ht="15" customHeight="1" x14ac:dyDescent="0.25">
      <c r="B185" s="118"/>
      <c r="C185" s="118"/>
    </row>
    <row r="186" spans="2:3" ht="15" customHeight="1" x14ac:dyDescent="0.25">
      <c r="B186" s="118"/>
      <c r="C186" s="118"/>
    </row>
    <row r="187" spans="2:3" ht="15" customHeight="1" x14ac:dyDescent="0.25">
      <c r="B187" s="118"/>
      <c r="C187" s="118"/>
    </row>
    <row r="188" spans="2:3" ht="15" customHeight="1" x14ac:dyDescent="0.25">
      <c r="B188" s="118"/>
      <c r="C188" s="118"/>
    </row>
    <row r="189" spans="2:3" ht="15" customHeight="1" x14ac:dyDescent="0.25">
      <c r="B189" s="118"/>
      <c r="C189" s="118"/>
    </row>
    <row r="190" spans="2:3" ht="15" customHeight="1" x14ac:dyDescent="0.25">
      <c r="B190" s="118"/>
      <c r="C190" s="118"/>
    </row>
    <row r="191" spans="2:3" ht="15" customHeight="1" x14ac:dyDescent="0.25">
      <c r="B191" s="118"/>
      <c r="C191" s="118"/>
    </row>
    <row r="192" spans="2:3" ht="15" customHeight="1" x14ac:dyDescent="0.25">
      <c r="B192" s="118"/>
      <c r="C192" s="118"/>
    </row>
    <row r="193" spans="2:3" ht="15" customHeight="1" x14ac:dyDescent="0.25">
      <c r="B193" s="118"/>
      <c r="C193" s="118"/>
    </row>
    <row r="194" spans="2:3" ht="15" customHeight="1" x14ac:dyDescent="0.25">
      <c r="B194" s="118"/>
      <c r="C194" s="118"/>
    </row>
    <row r="195" spans="2:3" ht="15" customHeight="1" x14ac:dyDescent="0.25">
      <c r="B195" s="118"/>
      <c r="C195" s="118"/>
    </row>
    <row r="196" spans="2:3" ht="15" customHeight="1" x14ac:dyDescent="0.25">
      <c r="B196" s="118"/>
      <c r="C196" s="118"/>
    </row>
    <row r="197" spans="2:3" ht="15" customHeight="1" x14ac:dyDescent="0.25">
      <c r="B197" s="118"/>
      <c r="C197" s="118"/>
    </row>
    <row r="198" spans="2:3" ht="15" customHeight="1" x14ac:dyDescent="0.25">
      <c r="B198" s="118"/>
      <c r="C198" s="118"/>
    </row>
    <row r="199" spans="2:3" ht="15" customHeight="1" x14ac:dyDescent="0.25">
      <c r="B199" s="118"/>
      <c r="C199" s="118"/>
    </row>
    <row r="200" spans="2:3" ht="15" customHeight="1" x14ac:dyDescent="0.25">
      <c r="B200" s="118"/>
      <c r="C200" s="118"/>
    </row>
    <row r="201" spans="2:3" ht="15" customHeight="1" x14ac:dyDescent="0.25">
      <c r="B201" s="118"/>
      <c r="C201" s="118"/>
    </row>
    <row r="202" spans="2:3" ht="15" customHeight="1" x14ac:dyDescent="0.25">
      <c r="B202" s="118"/>
      <c r="C202" s="118"/>
    </row>
    <row r="203" spans="2:3" ht="15" customHeight="1" x14ac:dyDescent="0.25">
      <c r="B203" s="118"/>
      <c r="C203" s="118"/>
    </row>
    <row r="204" spans="2:3" ht="15" customHeight="1" x14ac:dyDescent="0.25">
      <c r="B204" s="118"/>
      <c r="C204" s="118"/>
    </row>
    <row r="205" spans="2:3" ht="15" customHeight="1" x14ac:dyDescent="0.25">
      <c r="B205" s="118"/>
      <c r="C205" s="118"/>
    </row>
    <row r="206" spans="2:3" ht="15" customHeight="1" x14ac:dyDescent="0.25">
      <c r="B206" s="118"/>
      <c r="C206" s="118"/>
    </row>
    <row r="207" spans="2:3" ht="15" customHeight="1" x14ac:dyDescent="0.25">
      <c r="B207" s="118"/>
      <c r="C207" s="118"/>
    </row>
    <row r="208" spans="2:3" ht="15" customHeight="1" x14ac:dyDescent="0.25">
      <c r="B208" s="118"/>
      <c r="C208" s="118"/>
    </row>
    <row r="209" spans="2:3" ht="15" customHeight="1" x14ac:dyDescent="0.25">
      <c r="B209" s="118"/>
      <c r="C209" s="118"/>
    </row>
    <row r="210" spans="2:3" ht="15" customHeight="1" x14ac:dyDescent="0.25">
      <c r="B210" s="118"/>
      <c r="C210" s="118"/>
    </row>
    <row r="211" spans="2:3" ht="15" customHeight="1" x14ac:dyDescent="0.25">
      <c r="B211" s="118"/>
      <c r="C211" s="118"/>
    </row>
    <row r="212" spans="2:3" ht="15" customHeight="1" x14ac:dyDescent="0.25">
      <c r="B212" s="118"/>
      <c r="C212" s="118"/>
    </row>
    <row r="213" spans="2:3" ht="15" customHeight="1" x14ac:dyDescent="0.25">
      <c r="B213" s="118"/>
      <c r="C213" s="118"/>
    </row>
    <row r="214" spans="2:3" ht="15" customHeight="1" x14ac:dyDescent="0.25">
      <c r="B214" s="118"/>
      <c r="C214" s="118"/>
    </row>
    <row r="215" spans="2:3" ht="15" customHeight="1" x14ac:dyDescent="0.25">
      <c r="B215" s="118"/>
      <c r="C215" s="118"/>
    </row>
    <row r="216" spans="2:3" ht="15" customHeight="1" x14ac:dyDescent="0.25">
      <c r="B216" s="118"/>
      <c r="C216" s="118"/>
    </row>
    <row r="217" spans="2:3" ht="15" customHeight="1" x14ac:dyDescent="0.25">
      <c r="B217" s="118"/>
      <c r="C217" s="118"/>
    </row>
    <row r="218" spans="2:3" ht="15" customHeight="1" x14ac:dyDescent="0.25">
      <c r="B218" s="118"/>
      <c r="C218" s="118"/>
    </row>
    <row r="219" spans="2:3" ht="15" customHeight="1" x14ac:dyDescent="0.25">
      <c r="B219" s="118"/>
      <c r="C219" s="118"/>
    </row>
    <row r="220" spans="2:3" ht="15" customHeight="1" x14ac:dyDescent="0.25">
      <c r="B220" s="118"/>
      <c r="C220" s="118"/>
    </row>
    <row r="221" spans="2:3" ht="15" customHeight="1" x14ac:dyDescent="0.25">
      <c r="B221" s="118"/>
      <c r="C221" s="118"/>
    </row>
    <row r="222" spans="2:3" ht="15" customHeight="1" x14ac:dyDescent="0.25"/>
    <row r="223" spans="2:3" ht="15" customHeight="1" x14ac:dyDescent="0.25"/>
    <row r="224" spans="2:3" ht="15" customHeight="1" x14ac:dyDescent="0.25"/>
  </sheetData>
  <hyperlinks>
    <hyperlink ref="B4" location="'Index sheet'!A1" display="Back to index" xr:uid="{00000000-0004-0000-01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zoomScaleNormal="100" workbookViewId="0">
      <pane ySplit="3" topLeftCell="A4" activePane="bottomLeft" state="frozen"/>
      <selection pane="bottomLeft" activeCell="E34" sqref="E34"/>
    </sheetView>
  </sheetViews>
  <sheetFormatPr defaultColWidth="9.08984375" defaultRowHeight="14.5" x14ac:dyDescent="0.35"/>
  <cols>
    <col min="1" max="1" width="44" style="1" customWidth="1"/>
    <col min="2" max="2" width="62.54296875" style="1" customWidth="1"/>
    <col min="3" max="16384" width="9.08984375" style="1"/>
  </cols>
  <sheetData>
    <row r="1" spans="1:2" ht="53.4" customHeight="1" x14ac:dyDescent="0.45">
      <c r="A1" s="265" t="s">
        <v>0</v>
      </c>
      <c r="B1" s="265"/>
    </row>
    <row r="2" spans="1:2" ht="33.75" customHeight="1" x14ac:dyDescent="0.45">
      <c r="A2" s="268" t="s">
        <v>183</v>
      </c>
      <c r="B2" s="268"/>
    </row>
    <row r="3" spans="1:2" ht="17.5" x14ac:dyDescent="0.35">
      <c r="A3" s="21" t="s">
        <v>155</v>
      </c>
      <c r="B3" s="26" t="s">
        <v>185</v>
      </c>
    </row>
    <row r="4" spans="1:2" ht="27" customHeight="1" x14ac:dyDescent="0.35">
      <c r="A4" s="27" t="s">
        <v>204</v>
      </c>
      <c r="B4" s="27" t="s">
        <v>300</v>
      </c>
    </row>
    <row r="5" spans="1:2" ht="52" x14ac:dyDescent="0.35">
      <c r="A5" s="25" t="s">
        <v>129</v>
      </c>
      <c r="B5" s="29" t="s">
        <v>443</v>
      </c>
    </row>
    <row r="6" spans="1:2" ht="75.650000000000006" customHeight="1" x14ac:dyDescent="0.35">
      <c r="A6" s="25" t="s">
        <v>130</v>
      </c>
      <c r="B6" s="29" t="s">
        <v>205</v>
      </c>
    </row>
    <row r="7" spans="1:2" ht="82.4" customHeight="1" x14ac:dyDescent="0.35">
      <c r="A7" s="25" t="s">
        <v>131</v>
      </c>
      <c r="B7" s="28" t="s">
        <v>206</v>
      </c>
    </row>
    <row r="8" spans="1:2" ht="60.75" customHeight="1" x14ac:dyDescent="0.35">
      <c r="A8" s="266" t="s">
        <v>1</v>
      </c>
      <c r="B8" s="266"/>
    </row>
    <row r="9" spans="1:2" ht="15" customHeight="1" x14ac:dyDescent="0.35">
      <c r="A9" s="266" t="s">
        <v>126</v>
      </c>
      <c r="B9" s="266"/>
    </row>
    <row r="10" spans="1:2" ht="40.5" customHeight="1" x14ac:dyDescent="0.35">
      <c r="A10" s="266" t="s">
        <v>127</v>
      </c>
      <c r="B10" s="266"/>
    </row>
    <row r="11" spans="1:2" ht="45" customHeight="1" x14ac:dyDescent="0.35">
      <c r="A11" s="267" t="s">
        <v>128</v>
      </c>
      <c r="B11" s="267"/>
    </row>
  </sheetData>
  <sheetProtection formatCells="0" formatColumns="0" formatRows="0" insertRows="0" deleteRows="0"/>
  <mergeCells count="6">
    <mergeCell ref="A1:B1"/>
    <mergeCell ref="A8:B8"/>
    <mergeCell ref="A9:B9"/>
    <mergeCell ref="A10:B10"/>
    <mergeCell ref="A11:B11"/>
    <mergeCell ref="A2:B2"/>
  </mergeCells>
  <conditionalFormatting sqref="A3:B4 A6:B7 A5">
    <cfRule type="colorScale" priority="10">
      <colorScale>
        <cfvo type="min"/>
        <cfvo type="percentile" val="50"/>
        <cfvo type="max"/>
        <color rgb="FF63BE7B"/>
        <color rgb="FFFFEB84"/>
        <color rgb="FFF8696B"/>
      </colorScale>
    </cfRule>
  </conditionalFormatting>
  <conditionalFormatting sqref="B5">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3"/>
  <sheetViews>
    <sheetView zoomScaleNormal="100" workbookViewId="0">
      <pane ySplit="2" topLeftCell="A3" activePane="bottomLeft" state="frozen"/>
      <selection pane="bottomLeft" activeCell="A21" sqref="A21"/>
    </sheetView>
  </sheetViews>
  <sheetFormatPr defaultColWidth="9.08984375" defaultRowHeight="11.5" x14ac:dyDescent="0.25"/>
  <cols>
    <col min="1" max="1" width="54.08984375" style="2" customWidth="1"/>
    <col min="2" max="2" width="84.453125" style="2" customWidth="1"/>
    <col min="3" max="16384" width="9.08984375" style="2"/>
  </cols>
  <sheetData>
    <row r="1" spans="1:2" ht="18.5" x14ac:dyDescent="0.45">
      <c r="A1" s="268" t="s">
        <v>184</v>
      </c>
      <c r="B1" s="268"/>
    </row>
    <row r="2" spans="1:2" ht="15.5" x14ac:dyDescent="0.35">
      <c r="A2" s="269" t="s">
        <v>73</v>
      </c>
      <c r="B2" s="269"/>
    </row>
    <row r="3" spans="1:2" ht="14.5" x14ac:dyDescent="0.25">
      <c r="A3" s="3" t="s">
        <v>17</v>
      </c>
      <c r="B3" s="24"/>
    </row>
    <row r="4" spans="1:2" ht="78" customHeight="1" x14ac:dyDescent="0.25">
      <c r="A4" s="32" t="s">
        <v>204</v>
      </c>
      <c r="B4" s="161" t="s">
        <v>445</v>
      </c>
    </row>
    <row r="5" spans="1:2" ht="36.75" customHeight="1" x14ac:dyDescent="0.25">
      <c r="A5" s="3" t="s">
        <v>18</v>
      </c>
      <c r="B5" s="25"/>
    </row>
    <row r="6" spans="1:2" ht="13" x14ac:dyDescent="0.25">
      <c r="A6" s="32" t="s">
        <v>19</v>
      </c>
      <c r="B6" s="27" t="s">
        <v>207</v>
      </c>
    </row>
    <row r="7" spans="1:2" ht="13" x14ac:dyDescent="0.25">
      <c r="A7" s="32" t="s">
        <v>208</v>
      </c>
      <c r="B7" s="27" t="s">
        <v>207</v>
      </c>
    </row>
    <row r="8" spans="1:2" ht="43.5" x14ac:dyDescent="0.25">
      <c r="A8" s="3" t="s">
        <v>20</v>
      </c>
      <c r="B8" s="25"/>
    </row>
    <row r="9" spans="1:2" ht="13" x14ac:dyDescent="0.25">
      <c r="A9" s="33" t="s">
        <v>21</v>
      </c>
      <c r="B9" s="29" t="s">
        <v>207</v>
      </c>
    </row>
    <row r="10" spans="1:2" ht="13" x14ac:dyDescent="0.25">
      <c r="A10" s="31" t="s">
        <v>22</v>
      </c>
      <c r="B10" s="25"/>
    </row>
    <row r="11" spans="1:2" ht="15" customHeight="1" x14ac:dyDescent="0.25">
      <c r="A11" s="32" t="s">
        <v>23</v>
      </c>
      <c r="B11" s="27" t="s">
        <v>207</v>
      </c>
    </row>
    <row r="12" spans="1:2" ht="73.75" customHeight="1" x14ac:dyDescent="0.25">
      <c r="A12" s="270" t="s">
        <v>24</v>
      </c>
      <c r="B12" s="270"/>
    </row>
    <row r="13" spans="1:2" ht="25.4" customHeight="1" x14ac:dyDescent="0.25">
      <c r="A13" s="270" t="s">
        <v>74</v>
      </c>
      <c r="B13" s="270"/>
    </row>
  </sheetData>
  <sheetProtection formatCells="0" formatColumns="0" formatRows="0" insertRows="0" deleteRows="0"/>
  <mergeCells count="4">
    <mergeCell ref="A2:B2"/>
    <mergeCell ref="A12:B12"/>
    <mergeCell ref="A13:B13"/>
    <mergeCell ref="A1:B1"/>
  </mergeCells>
  <conditionalFormatting sqref="A2">
    <cfRule type="colorScale" priority="7">
      <colorScale>
        <cfvo type="min"/>
        <cfvo type="percentile" val="50"/>
        <cfvo type="max"/>
        <color rgb="FF63BE7B"/>
        <color rgb="FFFFEB84"/>
        <color rgb="FFF8696B"/>
      </colorScale>
    </cfRule>
  </conditionalFormatting>
  <conditionalFormatting sqref="A3">
    <cfRule type="colorScale" priority="5">
      <colorScale>
        <cfvo type="min"/>
        <cfvo type="percentile" val="50"/>
        <cfvo type="max"/>
        <color rgb="FF63BE7B"/>
        <color rgb="FFFFEB84"/>
        <color rgb="FFF8696B"/>
      </colorScale>
    </cfRule>
  </conditionalFormatting>
  <conditionalFormatting sqref="A5">
    <cfRule type="colorScale" priority="4">
      <colorScale>
        <cfvo type="min"/>
        <cfvo type="percentile" val="50"/>
        <cfvo type="max"/>
        <color rgb="FF63BE7B"/>
        <color rgb="FFFFEB84"/>
        <color rgb="FFF8696B"/>
      </colorScale>
    </cfRule>
  </conditionalFormatting>
  <conditionalFormatting sqref="A8">
    <cfRule type="colorScale" priority="2">
      <colorScale>
        <cfvo type="min"/>
        <cfvo type="percentile" val="50"/>
        <cfvo type="max"/>
        <color rgb="FF63BE7B"/>
        <color rgb="FFFFEB84"/>
        <color rgb="FFF8696B"/>
      </colorScale>
    </cfRule>
  </conditionalFormatting>
  <conditionalFormatting sqref="A6:B7 A4:B4 A9:B11 B8">
    <cfRule type="colorScale" priority="6">
      <colorScale>
        <cfvo type="min"/>
        <cfvo type="percentile" val="50"/>
        <cfvo type="max"/>
        <color rgb="FF63BE7B"/>
        <color rgb="FFFFEB84"/>
        <color rgb="FFF8696B"/>
      </colorScale>
    </cfRule>
  </conditionalFormatting>
  <conditionalFormatting sqref="B3">
    <cfRule type="colorScale" priority="1">
      <colorScale>
        <cfvo type="min"/>
        <cfvo type="percentile" val="50"/>
        <cfvo type="max"/>
        <color rgb="FF63BE7B"/>
        <color rgb="FFFFEB84"/>
        <color rgb="FFF8696B"/>
      </colorScale>
    </cfRule>
  </conditionalFormatting>
  <conditionalFormatting sqref="B5">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9"/>
  <sheetViews>
    <sheetView zoomScaleNormal="100" workbookViewId="0">
      <pane ySplit="2" topLeftCell="A37" activePane="bottomLeft" state="frozen"/>
      <selection pane="bottomLeft" activeCell="B38" sqref="B38"/>
    </sheetView>
  </sheetViews>
  <sheetFormatPr defaultColWidth="9.08984375" defaultRowHeight="13" x14ac:dyDescent="0.3"/>
  <cols>
    <col min="1" max="1" width="49.453125" style="4" customWidth="1"/>
    <col min="2" max="2" width="124.90625" style="4" customWidth="1"/>
    <col min="3" max="16384" width="9.08984375" style="4"/>
  </cols>
  <sheetData>
    <row r="1" spans="1:2" ht="35.15" customHeight="1" x14ac:dyDescent="0.45">
      <c r="A1" s="273" t="s">
        <v>58</v>
      </c>
      <c r="B1" s="273"/>
    </row>
    <row r="2" spans="1:2" ht="24.65" customHeight="1" x14ac:dyDescent="0.35">
      <c r="A2" s="21" t="s">
        <v>25</v>
      </c>
      <c r="B2" s="22" t="s">
        <v>26</v>
      </c>
    </row>
    <row r="3" spans="1:2" ht="15" customHeight="1" x14ac:dyDescent="0.3">
      <c r="A3" s="34" t="s">
        <v>188</v>
      </c>
      <c r="B3" s="5"/>
    </row>
    <row r="4" spans="1:2" ht="73.400000000000006" customHeight="1" x14ac:dyDescent="0.3">
      <c r="A4" s="30" t="s">
        <v>28</v>
      </c>
      <c r="B4" s="329" t="s">
        <v>491</v>
      </c>
    </row>
    <row r="5" spans="1:2" ht="33" customHeight="1" x14ac:dyDescent="0.3">
      <c r="A5" s="34" t="s">
        <v>189</v>
      </c>
      <c r="B5" s="139"/>
    </row>
    <row r="6" spans="1:2" ht="70.400000000000006" customHeight="1" x14ac:dyDescent="0.3">
      <c r="A6" s="35" t="s">
        <v>27</v>
      </c>
      <c r="B6" s="138" t="s">
        <v>209</v>
      </c>
    </row>
    <row r="7" spans="1:2" ht="70.400000000000006" customHeight="1" x14ac:dyDescent="0.3">
      <c r="A7" s="35" t="s">
        <v>75</v>
      </c>
      <c r="B7" s="140" t="s">
        <v>210</v>
      </c>
    </row>
    <row r="8" spans="1:2" ht="70.400000000000006" customHeight="1" x14ac:dyDescent="0.3">
      <c r="A8" s="35" t="s">
        <v>186</v>
      </c>
      <c r="B8" s="330" t="s">
        <v>492</v>
      </c>
    </row>
    <row r="9" spans="1:2" ht="70.400000000000006" customHeight="1" x14ac:dyDescent="0.3">
      <c r="A9" s="36" t="s">
        <v>187</v>
      </c>
      <c r="B9" s="138" t="s">
        <v>211</v>
      </c>
    </row>
    <row r="10" spans="1:2" ht="25.4" customHeight="1" x14ac:dyDescent="0.3">
      <c r="A10" s="275" t="s">
        <v>190</v>
      </c>
      <c r="B10" s="276"/>
    </row>
    <row r="11" spans="1:2" ht="75" customHeight="1" x14ac:dyDescent="0.3">
      <c r="A11" s="41" t="s">
        <v>59</v>
      </c>
      <c r="B11" s="38"/>
    </row>
    <row r="12" spans="1:2" ht="70.400000000000006" customHeight="1" x14ac:dyDescent="0.3">
      <c r="A12" s="141" t="s">
        <v>76</v>
      </c>
      <c r="B12" s="142" t="s">
        <v>212</v>
      </c>
    </row>
    <row r="13" spans="1:2" ht="70.400000000000006" customHeight="1" x14ac:dyDescent="0.3">
      <c r="A13" s="141" t="s">
        <v>77</v>
      </c>
      <c r="B13" s="142" t="s">
        <v>213</v>
      </c>
    </row>
    <row r="14" spans="1:2" ht="90.65" customHeight="1" x14ac:dyDescent="0.3">
      <c r="A14" s="141" t="s">
        <v>78</v>
      </c>
      <c r="B14" s="143" t="s">
        <v>214</v>
      </c>
    </row>
    <row r="15" spans="1:2" ht="70.400000000000006" customHeight="1" x14ac:dyDescent="0.3">
      <c r="A15" s="141" t="s">
        <v>29</v>
      </c>
      <c r="B15" s="162" t="s">
        <v>440</v>
      </c>
    </row>
    <row r="16" spans="1:2" ht="53.5" customHeight="1" x14ac:dyDescent="0.3">
      <c r="A16" s="141" t="s">
        <v>30</v>
      </c>
      <c r="B16" s="142" t="s">
        <v>429</v>
      </c>
    </row>
    <row r="17" spans="1:2" ht="34" customHeight="1" x14ac:dyDescent="0.3">
      <c r="A17" s="141" t="s">
        <v>31</v>
      </c>
      <c r="B17" s="142" t="s">
        <v>251</v>
      </c>
    </row>
    <row r="18" spans="1:2" ht="37.5" customHeight="1" x14ac:dyDescent="0.3">
      <c r="A18" s="141" t="s">
        <v>32</v>
      </c>
      <c r="B18" s="142" t="s">
        <v>215</v>
      </c>
    </row>
    <row r="19" spans="1:2" ht="84.65" customHeight="1" x14ac:dyDescent="0.3">
      <c r="A19" s="141" t="s">
        <v>33</v>
      </c>
      <c r="B19" s="143" t="s">
        <v>216</v>
      </c>
    </row>
    <row r="20" spans="1:2" ht="70.400000000000006" customHeight="1" x14ac:dyDescent="0.3">
      <c r="A20" s="141" t="s">
        <v>34</v>
      </c>
      <c r="B20" s="142" t="s">
        <v>217</v>
      </c>
    </row>
    <row r="21" spans="1:2" ht="70.400000000000006" customHeight="1" x14ac:dyDescent="0.3">
      <c r="A21" s="141" t="s">
        <v>79</v>
      </c>
      <c r="B21" s="142"/>
    </row>
    <row r="22" spans="1:2" ht="122.5" customHeight="1" x14ac:dyDescent="0.3">
      <c r="A22" s="141" t="s">
        <v>35</v>
      </c>
      <c r="B22" s="142" t="s">
        <v>494</v>
      </c>
    </row>
    <row r="23" spans="1:2" ht="70.400000000000006" customHeight="1" x14ac:dyDescent="0.3">
      <c r="A23" s="141" t="s">
        <v>36</v>
      </c>
      <c r="B23" s="142" t="s">
        <v>493</v>
      </c>
    </row>
    <row r="24" spans="1:2" ht="70.400000000000006" customHeight="1" x14ac:dyDescent="0.3">
      <c r="A24" s="141" t="s">
        <v>37</v>
      </c>
      <c r="B24" s="142" t="s">
        <v>495</v>
      </c>
    </row>
    <row r="25" spans="1:2" ht="70.400000000000006" customHeight="1" x14ac:dyDescent="0.3">
      <c r="A25" s="141" t="s">
        <v>38</v>
      </c>
      <c r="B25" s="142" t="s">
        <v>496</v>
      </c>
    </row>
    <row r="26" spans="1:2" ht="70.400000000000006" customHeight="1" x14ac:dyDescent="0.3">
      <c r="A26" s="141" t="s">
        <v>39</v>
      </c>
      <c r="B26" s="142" t="s">
        <v>430</v>
      </c>
    </row>
    <row r="27" spans="1:2" ht="70.400000000000006" customHeight="1" x14ac:dyDescent="0.3">
      <c r="A27" s="141" t="s">
        <v>40</v>
      </c>
      <c r="B27" s="142" t="s">
        <v>497</v>
      </c>
    </row>
    <row r="28" spans="1:2" ht="62.4" customHeight="1" x14ac:dyDescent="0.3">
      <c r="A28" s="141" t="s">
        <v>41</v>
      </c>
      <c r="B28" s="142" t="s">
        <v>216</v>
      </c>
    </row>
    <row r="29" spans="1:2" ht="55.4" customHeight="1" x14ac:dyDescent="0.3">
      <c r="A29" s="277" t="s">
        <v>80</v>
      </c>
      <c r="B29" s="278"/>
    </row>
    <row r="30" spans="1:2" ht="113.4" customHeight="1" x14ac:dyDescent="0.3">
      <c r="A30" s="141" t="s">
        <v>81</v>
      </c>
      <c r="B30" s="142" t="s">
        <v>218</v>
      </c>
    </row>
    <row r="31" spans="1:2" ht="145" x14ac:dyDescent="0.3">
      <c r="A31" s="141" t="s">
        <v>82</v>
      </c>
      <c r="B31" s="142" t="s">
        <v>219</v>
      </c>
    </row>
    <row r="32" spans="1:2" ht="55.4" customHeight="1" x14ac:dyDescent="0.3">
      <c r="A32" s="144" t="s">
        <v>42</v>
      </c>
      <c r="B32" s="145"/>
    </row>
    <row r="33" spans="1:2" ht="43.5" x14ac:dyDescent="0.3">
      <c r="A33" s="141" t="s">
        <v>44</v>
      </c>
      <c r="B33" s="143" t="s">
        <v>220</v>
      </c>
    </row>
    <row r="34" spans="1:2" ht="43.5" x14ac:dyDescent="0.3">
      <c r="A34" s="141" t="s">
        <v>43</v>
      </c>
      <c r="B34" s="143" t="s">
        <v>221</v>
      </c>
    </row>
    <row r="35" spans="1:2" ht="58" x14ac:dyDescent="0.3">
      <c r="A35" s="146" t="s">
        <v>45</v>
      </c>
      <c r="B35" s="142" t="s">
        <v>441</v>
      </c>
    </row>
    <row r="36" spans="1:2" ht="65.150000000000006" customHeight="1" x14ac:dyDescent="0.3">
      <c r="A36" s="147" t="s">
        <v>46</v>
      </c>
      <c r="B36" s="148"/>
    </row>
    <row r="37" spans="1:2" ht="81" customHeight="1" x14ac:dyDescent="0.3">
      <c r="A37" s="148" t="s">
        <v>47</v>
      </c>
      <c r="B37" s="142" t="s">
        <v>222</v>
      </c>
    </row>
    <row r="38" spans="1:2" ht="86.4" customHeight="1" x14ac:dyDescent="0.3">
      <c r="A38" s="148" t="s">
        <v>48</v>
      </c>
      <c r="B38" s="142" t="s">
        <v>498</v>
      </c>
    </row>
    <row r="39" spans="1:2" ht="64.5" customHeight="1" x14ac:dyDescent="0.3">
      <c r="A39" s="148" t="s">
        <v>49</v>
      </c>
      <c r="B39" s="142" t="s">
        <v>223</v>
      </c>
    </row>
    <row r="40" spans="1:2" ht="78" customHeight="1" x14ac:dyDescent="0.3">
      <c r="A40" s="37" t="s">
        <v>50</v>
      </c>
      <c r="B40" s="40"/>
    </row>
    <row r="41" spans="1:2" ht="53.15" customHeight="1" x14ac:dyDescent="0.3">
      <c r="A41" s="35" t="s">
        <v>51</v>
      </c>
      <c r="B41" s="119" t="s">
        <v>224</v>
      </c>
    </row>
    <row r="42" spans="1:2" ht="66.650000000000006" customHeight="1" x14ac:dyDescent="0.3">
      <c r="A42" s="35" t="s">
        <v>52</v>
      </c>
      <c r="B42" s="42" t="s">
        <v>224</v>
      </c>
    </row>
    <row r="43" spans="1:2" ht="66" customHeight="1" x14ac:dyDescent="0.3">
      <c r="A43" s="35" t="s">
        <v>53</v>
      </c>
      <c r="B43" s="42" t="s">
        <v>224</v>
      </c>
    </row>
    <row r="44" spans="1:2" ht="66.650000000000006" customHeight="1" x14ac:dyDescent="0.3">
      <c r="A44" s="35" t="s">
        <v>54</v>
      </c>
      <c r="B44" s="42" t="s">
        <v>224</v>
      </c>
    </row>
    <row r="45" spans="1:2" ht="75" customHeight="1" x14ac:dyDescent="0.3">
      <c r="A45" s="35" t="s">
        <v>55</v>
      </c>
      <c r="B45" s="42" t="s">
        <v>224</v>
      </c>
    </row>
    <row r="46" spans="1:2" ht="62.4" customHeight="1" x14ac:dyDescent="0.3">
      <c r="A46" s="39" t="s">
        <v>56</v>
      </c>
      <c r="B46" s="149" t="s">
        <v>224</v>
      </c>
    </row>
    <row r="47" spans="1:2" ht="37.4" customHeight="1" x14ac:dyDescent="0.3">
      <c r="A47" s="271" t="s">
        <v>57</v>
      </c>
      <c r="B47" s="271"/>
    </row>
    <row r="48" spans="1:2" ht="17.149999999999999" customHeight="1" x14ac:dyDescent="0.3">
      <c r="A48" s="272" t="s">
        <v>132</v>
      </c>
      <c r="B48" s="272"/>
    </row>
    <row r="49" spans="1:2" ht="69" customHeight="1" x14ac:dyDescent="0.3">
      <c r="A49" s="274" t="s">
        <v>133</v>
      </c>
      <c r="B49" s="274"/>
    </row>
  </sheetData>
  <sheetProtection formatCells="0" formatColumns="0" formatRows="0" insertRows="0" deleteRows="0"/>
  <mergeCells count="6">
    <mergeCell ref="A47:B47"/>
    <mergeCell ref="A48:B48"/>
    <mergeCell ref="A1:B1"/>
    <mergeCell ref="A49:B49"/>
    <mergeCell ref="A10:B10"/>
    <mergeCell ref="A29:B29"/>
  </mergeCells>
  <conditionalFormatting sqref="A2:B2">
    <cfRule type="colorScale" priority="6">
      <colorScale>
        <cfvo type="min"/>
        <cfvo type="percentile" val="50"/>
        <cfvo type="max"/>
        <color rgb="FF63BE7B"/>
        <color rgb="FFFFEB84"/>
        <color rgb="FFF8696B"/>
      </colorScale>
    </cfRule>
  </conditionalFormatting>
  <conditionalFormatting sqref="A3:B3">
    <cfRule type="colorScale" priority="5">
      <colorScale>
        <cfvo type="min"/>
        <cfvo type="percentile" val="50"/>
        <cfvo type="max"/>
        <color rgb="FF63BE7B"/>
        <color rgb="FFFFEB84"/>
        <color rgb="FFF8696B"/>
      </colorScale>
    </cfRule>
  </conditionalFormatting>
  <conditionalFormatting sqref="A4:B4">
    <cfRule type="colorScale" priority="4">
      <colorScale>
        <cfvo type="min"/>
        <cfvo type="percentile" val="50"/>
        <cfvo type="max"/>
        <color rgb="FF63BE7B"/>
        <color rgb="FFFFEB84"/>
        <color rgb="FFF8696B"/>
      </colorScale>
    </cfRule>
  </conditionalFormatting>
  <conditionalFormatting sqref="A5:B5">
    <cfRule type="colorScale" priority="3">
      <colorScale>
        <cfvo type="min"/>
        <cfvo type="percentile" val="50"/>
        <cfvo type="max"/>
        <color rgb="FF63BE7B"/>
        <color rgb="FFFFEB84"/>
        <color rgb="FFF8696B"/>
      </colorScale>
    </cfRule>
  </conditionalFormatting>
  <conditionalFormatting sqref="B6">
    <cfRule type="colorScale" priority="1">
      <colorScale>
        <cfvo type="min"/>
        <cfvo type="percentile" val="50"/>
        <cfvo type="max"/>
        <color rgb="FF63BE7B"/>
        <color rgb="FFFFEB84"/>
        <color rgb="FFF8696B"/>
      </colorScale>
    </cfRule>
  </conditionalFormatting>
  <conditionalFormatting sqref="B7:B9">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0"/>
  <sheetViews>
    <sheetView zoomScale="90" zoomScaleNormal="90" workbookViewId="0">
      <pane ySplit="7" topLeftCell="A13" activePane="bottomLeft" state="frozen"/>
      <selection pane="bottomLeft" activeCell="F10" sqref="F10"/>
    </sheetView>
  </sheetViews>
  <sheetFormatPr defaultColWidth="8.90625" defaultRowHeight="13" x14ac:dyDescent="0.3"/>
  <cols>
    <col min="1" max="1" width="35.90625" style="8" customWidth="1"/>
    <col min="2" max="2" width="12.453125" style="8" customWidth="1"/>
    <col min="3" max="3" width="25.08984375" style="8" customWidth="1"/>
    <col min="4" max="4" width="17.453125" style="8" customWidth="1"/>
    <col min="5" max="5" width="21" style="8" customWidth="1"/>
    <col min="6" max="6" width="13.90625" style="8" customWidth="1"/>
    <col min="7" max="7" width="9.08984375" style="8" customWidth="1"/>
    <col min="8" max="8" width="12.453125" style="8" customWidth="1"/>
    <col min="9" max="9" width="23.08984375" style="8" customWidth="1"/>
    <col min="10" max="10" width="11" style="8" bestFit="1" customWidth="1"/>
    <col min="11" max="16384" width="8.90625" style="8"/>
  </cols>
  <sheetData>
    <row r="1" spans="1:9" ht="20.149999999999999" customHeight="1" x14ac:dyDescent="0.45">
      <c r="A1" s="6" t="s">
        <v>191</v>
      </c>
      <c r="B1" s="7"/>
      <c r="C1" s="7"/>
      <c r="D1" s="7"/>
      <c r="E1" s="7"/>
      <c r="F1" s="7"/>
      <c r="G1" s="7"/>
      <c r="H1" s="7"/>
      <c r="I1" s="7"/>
    </row>
    <row r="2" spans="1:9" ht="15.65" customHeight="1" x14ac:dyDescent="0.3">
      <c r="A2" s="281" t="s">
        <v>60</v>
      </c>
      <c r="B2" s="281"/>
      <c r="C2" s="281"/>
      <c r="D2" s="281"/>
      <c r="E2" s="281"/>
      <c r="F2" s="281"/>
      <c r="G2" s="281"/>
      <c r="H2" s="281"/>
      <c r="I2" s="281"/>
    </row>
    <row r="3" spans="1:9" s="43" customFormat="1" ht="75" customHeight="1" x14ac:dyDescent="0.35">
      <c r="A3" s="283"/>
      <c r="B3" s="288" t="s">
        <v>142</v>
      </c>
      <c r="C3" s="246" t="s">
        <v>225</v>
      </c>
      <c r="D3" s="282" t="s">
        <v>61</v>
      </c>
      <c r="E3" s="282"/>
      <c r="F3" s="288" t="s">
        <v>192</v>
      </c>
      <c r="G3" s="288" t="s">
        <v>71</v>
      </c>
      <c r="H3" s="288" t="s">
        <v>70</v>
      </c>
      <c r="I3" s="288"/>
    </row>
    <row r="4" spans="1:9" s="43" customFormat="1" ht="11.15" customHeight="1" x14ac:dyDescent="0.35">
      <c r="A4" s="284"/>
      <c r="B4" s="289"/>
      <c r="C4" s="279">
        <v>1990</v>
      </c>
      <c r="D4" s="291">
        <v>2021</v>
      </c>
      <c r="E4" s="291">
        <v>2022</v>
      </c>
      <c r="F4" s="289"/>
      <c r="G4" s="289"/>
      <c r="H4" s="289"/>
      <c r="I4" s="289"/>
    </row>
    <row r="5" spans="1:9" s="43" customFormat="1" ht="6" hidden="1" customHeight="1" x14ac:dyDescent="0.35">
      <c r="A5" s="284"/>
      <c r="B5" s="289"/>
      <c r="C5" s="279"/>
      <c r="D5" s="292"/>
      <c r="E5" s="292"/>
      <c r="F5" s="289"/>
      <c r="G5" s="289"/>
      <c r="H5" s="289"/>
      <c r="I5" s="289"/>
    </row>
    <row r="6" spans="1:9" s="43" customFormat="1" ht="14.15" customHeight="1" x14ac:dyDescent="0.35">
      <c r="A6" s="284"/>
      <c r="B6" s="289"/>
      <c r="C6" s="279"/>
      <c r="D6" s="292"/>
      <c r="E6" s="292"/>
      <c r="F6" s="289"/>
      <c r="G6" s="289"/>
      <c r="H6" s="289"/>
      <c r="I6" s="289"/>
    </row>
    <row r="7" spans="1:9" s="43" customFormat="1" ht="43.4" customHeight="1" x14ac:dyDescent="0.35">
      <c r="A7" s="285"/>
      <c r="B7" s="290"/>
      <c r="C7" s="280"/>
      <c r="D7" s="293"/>
      <c r="E7" s="293"/>
      <c r="F7" s="290"/>
      <c r="G7" s="290"/>
      <c r="H7" s="290"/>
      <c r="I7" s="290"/>
    </row>
    <row r="8" spans="1:9" ht="76.400000000000006" customHeight="1" x14ac:dyDescent="0.3">
      <c r="A8" s="14" t="s">
        <v>136</v>
      </c>
      <c r="B8" s="11"/>
      <c r="C8" s="11"/>
      <c r="D8" s="12"/>
      <c r="E8" s="12"/>
      <c r="F8" s="12"/>
      <c r="G8" s="12"/>
      <c r="H8" s="287"/>
      <c r="I8" s="287"/>
    </row>
    <row r="9" spans="1:9" ht="34.4" customHeight="1" x14ac:dyDescent="0.3">
      <c r="A9" s="152" t="s">
        <v>466</v>
      </c>
      <c r="B9" s="122" t="s">
        <v>226</v>
      </c>
      <c r="C9" s="153">
        <v>385736.5</v>
      </c>
      <c r="D9" s="153">
        <v>328422.27</v>
      </c>
      <c r="E9" s="153">
        <v>352973.03</v>
      </c>
      <c r="F9" s="153">
        <v>327876.02598906303</v>
      </c>
      <c r="G9" s="123">
        <v>2030</v>
      </c>
      <c r="H9" s="286" t="s">
        <v>227</v>
      </c>
      <c r="I9" s="286"/>
    </row>
    <row r="10" spans="1:9" ht="51.65" customHeight="1" x14ac:dyDescent="0.3">
      <c r="A10" s="56" t="s">
        <v>72</v>
      </c>
      <c r="B10" s="124"/>
      <c r="C10" s="125"/>
      <c r="D10" s="125"/>
      <c r="E10" s="125"/>
      <c r="F10" s="125"/>
      <c r="G10" s="125"/>
      <c r="H10" s="126"/>
      <c r="I10" s="126"/>
    </row>
    <row r="11" spans="1:9" ht="42" customHeight="1" x14ac:dyDescent="0.3">
      <c r="A11" s="10" t="s">
        <v>134</v>
      </c>
      <c r="B11" s="127" t="s">
        <v>234</v>
      </c>
      <c r="C11" s="128"/>
      <c r="D11" s="129">
        <v>328422.27</v>
      </c>
      <c r="E11" s="129">
        <v>352973.03</v>
      </c>
      <c r="F11" s="130"/>
      <c r="G11" s="130"/>
      <c r="H11" s="131"/>
      <c r="I11" s="131"/>
    </row>
    <row r="12" spans="1:9" ht="52.4" customHeight="1" x14ac:dyDescent="0.3">
      <c r="A12" s="10" t="s">
        <v>135</v>
      </c>
      <c r="B12" s="127" t="s">
        <v>234</v>
      </c>
      <c r="C12" s="128"/>
      <c r="D12" s="132" t="s">
        <v>207</v>
      </c>
      <c r="E12" s="132" t="s">
        <v>207</v>
      </c>
      <c r="F12" s="133"/>
      <c r="G12" s="133"/>
      <c r="H12" s="131"/>
      <c r="I12" s="131"/>
    </row>
    <row r="13" spans="1:9" ht="112.65" customHeight="1" x14ac:dyDescent="0.3">
      <c r="A13" s="121" t="s">
        <v>435</v>
      </c>
      <c r="B13" s="294"/>
      <c r="C13" s="294"/>
      <c r="D13" s="294"/>
      <c r="E13" s="294"/>
      <c r="F13" s="295"/>
      <c r="G13" s="295"/>
      <c r="H13" s="295"/>
      <c r="I13" s="295"/>
    </row>
    <row r="14" spans="1:9" ht="75.650000000000006" customHeight="1" x14ac:dyDescent="0.3">
      <c r="A14" s="120" t="s">
        <v>172</v>
      </c>
      <c r="B14" s="122" t="s">
        <v>234</v>
      </c>
      <c r="C14" s="123"/>
      <c r="D14" s="134" t="s">
        <v>233</v>
      </c>
      <c r="E14" s="134" t="s">
        <v>233</v>
      </c>
      <c r="F14" s="54"/>
      <c r="G14" s="45"/>
      <c r="H14" s="44"/>
      <c r="I14" s="44"/>
    </row>
    <row r="15" spans="1:9" ht="57.65" customHeight="1" x14ac:dyDescent="0.3">
      <c r="A15" s="120" t="s">
        <v>64</v>
      </c>
      <c r="B15" s="122" t="s">
        <v>228</v>
      </c>
      <c r="C15" s="123"/>
      <c r="D15" s="134" t="s">
        <v>207</v>
      </c>
      <c r="E15" s="134" t="s">
        <v>207</v>
      </c>
      <c r="F15" s="52"/>
      <c r="G15" s="45"/>
      <c r="H15" s="44"/>
      <c r="I15" s="44"/>
    </row>
    <row r="16" spans="1:9" ht="80.400000000000006" customHeight="1" x14ac:dyDescent="0.3">
      <c r="A16" s="120" t="s">
        <v>173</v>
      </c>
      <c r="B16" s="122" t="s">
        <v>234</v>
      </c>
      <c r="C16" s="123"/>
      <c r="D16" s="123">
        <v>328422.27</v>
      </c>
      <c r="E16" s="123">
        <v>352973.03</v>
      </c>
      <c r="F16" s="13"/>
      <c r="G16" s="45"/>
      <c r="H16" s="44"/>
      <c r="I16" s="44"/>
    </row>
    <row r="17" spans="1:9" ht="74.150000000000006" customHeight="1" x14ac:dyDescent="0.3">
      <c r="A17" s="120" t="s">
        <v>174</v>
      </c>
      <c r="B17" s="122" t="s">
        <v>234</v>
      </c>
      <c r="C17" s="123"/>
      <c r="D17" s="123">
        <v>328422.27</v>
      </c>
      <c r="E17" s="123">
        <v>352973.03</v>
      </c>
      <c r="F17" s="53"/>
      <c r="G17" s="45"/>
      <c r="H17" s="44"/>
      <c r="I17" s="44"/>
    </row>
    <row r="18" spans="1:9" ht="81" customHeight="1" x14ac:dyDescent="0.3">
      <c r="A18" s="120" t="s">
        <v>175</v>
      </c>
      <c r="B18" s="135" t="s">
        <v>228</v>
      </c>
      <c r="C18" s="123"/>
      <c r="D18" s="123" t="s">
        <v>207</v>
      </c>
      <c r="E18" s="123" t="s">
        <v>207</v>
      </c>
      <c r="F18" s="45"/>
      <c r="G18" s="45"/>
      <c r="H18" s="44"/>
      <c r="I18" s="44"/>
    </row>
    <row r="19" spans="1:9" ht="40.4" customHeight="1" x14ac:dyDescent="0.3">
      <c r="A19" s="120" t="s">
        <v>176</v>
      </c>
      <c r="B19" s="122" t="s">
        <v>234</v>
      </c>
      <c r="C19" s="136"/>
      <c r="D19" s="134" t="s">
        <v>233</v>
      </c>
      <c r="E19" s="134" t="s">
        <v>233</v>
      </c>
      <c r="F19" s="49"/>
      <c r="G19" s="46"/>
      <c r="H19" s="46"/>
      <c r="I19" s="46"/>
    </row>
    <row r="20" spans="1:9" ht="76.400000000000006" customHeight="1" x14ac:dyDescent="0.3">
      <c r="A20" s="120" t="s">
        <v>177</v>
      </c>
      <c r="B20" s="137" t="s">
        <v>228</v>
      </c>
      <c r="C20" s="123"/>
      <c r="D20" s="134" t="s">
        <v>207</v>
      </c>
      <c r="E20" s="134" t="s">
        <v>207</v>
      </c>
      <c r="F20" s="47"/>
      <c r="G20" s="48"/>
      <c r="H20" s="48"/>
      <c r="I20" s="48"/>
    </row>
    <row r="21" spans="1:9" ht="47.4" customHeight="1" x14ac:dyDescent="0.3">
      <c r="A21" s="120" t="s">
        <v>178</v>
      </c>
      <c r="B21" s="122" t="s">
        <v>234</v>
      </c>
      <c r="C21" s="123"/>
      <c r="D21" s="134" t="s">
        <v>233</v>
      </c>
      <c r="E21" s="134" t="s">
        <v>233</v>
      </c>
      <c r="F21" s="47"/>
      <c r="G21" s="48"/>
      <c r="H21" s="48"/>
      <c r="I21" s="48"/>
    </row>
    <row r="22" spans="1:9" ht="38.4" customHeight="1" x14ac:dyDescent="0.3">
      <c r="A22" s="120" t="s">
        <v>179</v>
      </c>
      <c r="B22" s="122" t="s">
        <v>234</v>
      </c>
      <c r="C22" s="123"/>
      <c r="D22" s="134" t="s">
        <v>233</v>
      </c>
      <c r="E22" s="134" t="s">
        <v>233</v>
      </c>
      <c r="F22" s="47"/>
      <c r="G22" s="48"/>
      <c r="H22" s="48"/>
      <c r="I22" s="48"/>
    </row>
    <row r="23" spans="1:9" ht="83.4" customHeight="1" x14ac:dyDescent="0.3">
      <c r="A23" s="120" t="s">
        <v>180</v>
      </c>
      <c r="B23" s="135" t="s">
        <v>228</v>
      </c>
      <c r="C23" s="123"/>
      <c r="D23" s="134" t="s">
        <v>207</v>
      </c>
      <c r="E23" s="134" t="s">
        <v>207</v>
      </c>
      <c r="F23" s="55"/>
      <c r="G23" s="48"/>
      <c r="H23" s="48"/>
      <c r="I23" s="48"/>
    </row>
    <row r="24" spans="1:9" ht="101.15" customHeight="1" x14ac:dyDescent="0.3">
      <c r="A24" s="120" t="s">
        <v>181</v>
      </c>
      <c r="B24" s="122" t="s">
        <v>234</v>
      </c>
      <c r="C24" s="123"/>
      <c r="D24" s="134" t="s">
        <v>233</v>
      </c>
      <c r="E24" s="134" t="s">
        <v>233</v>
      </c>
      <c r="F24" s="47"/>
      <c r="G24" s="48"/>
      <c r="H24" s="48"/>
      <c r="I24" s="48"/>
    </row>
    <row r="25" spans="1:9" ht="45" customHeight="1" x14ac:dyDescent="0.3">
      <c r="A25" s="120" t="s">
        <v>65</v>
      </c>
      <c r="B25" s="122" t="s">
        <v>234</v>
      </c>
      <c r="C25" s="123"/>
      <c r="D25" s="134" t="s">
        <v>233</v>
      </c>
      <c r="E25" s="134" t="s">
        <v>233</v>
      </c>
      <c r="F25" s="47"/>
      <c r="G25" s="48"/>
      <c r="H25" s="48"/>
      <c r="I25" s="48"/>
    </row>
    <row r="26" spans="1:9" ht="76.400000000000006" customHeight="1" x14ac:dyDescent="0.3">
      <c r="A26" s="120" t="s">
        <v>182</v>
      </c>
      <c r="B26" s="122" t="s">
        <v>234</v>
      </c>
      <c r="C26" s="123"/>
      <c r="D26" s="134" t="s">
        <v>233</v>
      </c>
      <c r="E26" s="134" t="s">
        <v>233</v>
      </c>
      <c r="F26" s="47"/>
      <c r="G26" s="48"/>
      <c r="H26" s="48"/>
      <c r="I26" s="48"/>
    </row>
    <row r="27" spans="1:9" ht="76.400000000000006" customHeight="1" x14ac:dyDescent="0.3">
      <c r="A27" s="120" t="s">
        <v>235</v>
      </c>
      <c r="B27" s="135" t="s">
        <v>228</v>
      </c>
      <c r="C27" s="134"/>
      <c r="D27" s="134" t="s">
        <v>207</v>
      </c>
      <c r="E27" s="134" t="s">
        <v>207</v>
      </c>
      <c r="F27" s="47"/>
      <c r="G27" s="48"/>
      <c r="H27" s="48"/>
      <c r="I27" s="48"/>
    </row>
    <row r="28" spans="1:9" ht="48" customHeight="1" x14ac:dyDescent="0.3">
      <c r="A28" s="120" t="s">
        <v>56</v>
      </c>
      <c r="B28" s="135" t="s">
        <v>228</v>
      </c>
      <c r="C28" s="134"/>
      <c r="D28" s="134" t="s">
        <v>233</v>
      </c>
      <c r="E28" s="134" t="s">
        <v>233</v>
      </c>
      <c r="F28" s="47"/>
      <c r="G28" s="48"/>
      <c r="H28" s="48"/>
      <c r="I28" s="48"/>
    </row>
    <row r="29" spans="1:9" ht="63.65" customHeight="1" x14ac:dyDescent="0.3">
      <c r="A29" s="15" t="s">
        <v>66</v>
      </c>
      <c r="B29" s="298"/>
      <c r="C29" s="298"/>
      <c r="D29" s="298"/>
      <c r="E29" s="298"/>
      <c r="F29" s="295"/>
      <c r="G29" s="295"/>
      <c r="H29" s="295"/>
      <c r="I29" s="295"/>
    </row>
    <row r="30" spans="1:9" ht="52.4" customHeight="1" x14ac:dyDescent="0.3">
      <c r="A30" s="23" t="s">
        <v>67</v>
      </c>
      <c r="B30" s="299"/>
      <c r="C30" s="299"/>
      <c r="D30" s="299"/>
      <c r="E30" s="299"/>
      <c r="F30" s="49"/>
      <c r="G30" s="46"/>
      <c r="H30" s="46"/>
      <c r="I30" s="46"/>
    </row>
    <row r="31" spans="1:9" ht="50.15" customHeight="1" x14ac:dyDescent="0.3">
      <c r="A31" s="23" t="s">
        <v>68</v>
      </c>
      <c r="B31" s="300"/>
      <c r="C31" s="300"/>
      <c r="D31" s="300"/>
      <c r="E31" s="300"/>
      <c r="F31" s="47"/>
      <c r="G31" s="48"/>
      <c r="H31" s="48"/>
      <c r="I31" s="48"/>
    </row>
    <row r="32" spans="1:9" ht="89.25" customHeight="1" x14ac:dyDescent="0.3">
      <c r="A32" s="23" t="s">
        <v>69</v>
      </c>
      <c r="B32" s="300"/>
      <c r="C32" s="300"/>
      <c r="D32" s="300"/>
      <c r="E32" s="300"/>
      <c r="F32" s="47"/>
      <c r="G32" s="48"/>
      <c r="H32" s="48"/>
      <c r="I32" s="48"/>
    </row>
    <row r="33" spans="1:9" ht="27" customHeight="1" x14ac:dyDescent="0.3">
      <c r="A33" s="23" t="s">
        <v>62</v>
      </c>
      <c r="B33" s="300"/>
      <c r="C33" s="300"/>
      <c r="D33" s="300"/>
      <c r="E33" s="300"/>
      <c r="F33" s="47"/>
      <c r="G33" s="48"/>
      <c r="H33" s="48"/>
      <c r="I33" s="48"/>
    </row>
    <row r="34" spans="1:9" s="9" customFormat="1" ht="26.9" customHeight="1" x14ac:dyDescent="0.35">
      <c r="A34" s="23" t="s">
        <v>63</v>
      </c>
      <c r="B34" s="300"/>
      <c r="C34" s="300"/>
      <c r="D34" s="300"/>
      <c r="E34" s="300"/>
      <c r="F34" s="51"/>
      <c r="G34" s="50"/>
      <c r="H34" s="50"/>
      <c r="I34" s="50"/>
    </row>
    <row r="35" spans="1:9" ht="170.4" customHeight="1" x14ac:dyDescent="0.3">
      <c r="A35" s="296" t="s">
        <v>467</v>
      </c>
      <c r="B35" s="297"/>
      <c r="C35" s="297"/>
      <c r="D35" s="297"/>
      <c r="E35" s="297"/>
    </row>
    <row r="37" spans="1:9" x14ac:dyDescent="0.3">
      <c r="A37" s="59" t="s">
        <v>229</v>
      </c>
    </row>
    <row r="38" spans="1:9" x14ac:dyDescent="0.3">
      <c r="A38" s="60" t="s">
        <v>230</v>
      </c>
    </row>
    <row r="39" spans="1:9" ht="14" x14ac:dyDescent="0.3">
      <c r="A39" s="61" t="s">
        <v>231</v>
      </c>
    </row>
    <row r="40" spans="1:9" x14ac:dyDescent="0.3">
      <c r="A40" s="60" t="s">
        <v>232</v>
      </c>
    </row>
  </sheetData>
  <sheetProtection formatCells="0" formatColumns="0" formatRows="0" insertColumns="0" insertRows="0" deleteColumns="0" deleteRows="0"/>
  <mergeCells count="22">
    <mergeCell ref="B13:E13"/>
    <mergeCell ref="F13:I13"/>
    <mergeCell ref="F29:I29"/>
    <mergeCell ref="A35:E35"/>
    <mergeCell ref="B29:E29"/>
    <mergeCell ref="B30:E30"/>
    <mergeCell ref="B31:E31"/>
    <mergeCell ref="B32:E32"/>
    <mergeCell ref="B33:E33"/>
    <mergeCell ref="B34:E34"/>
    <mergeCell ref="C4:C7"/>
    <mergeCell ref="A2:I2"/>
    <mergeCell ref="D3:E3"/>
    <mergeCell ref="A3:A7"/>
    <mergeCell ref="H9:I9"/>
    <mergeCell ref="H8:I8"/>
    <mergeCell ref="B3:B7"/>
    <mergeCell ref="D4:D7"/>
    <mergeCell ref="E4:E7"/>
    <mergeCell ref="F3:F7"/>
    <mergeCell ref="G3:G7"/>
    <mergeCell ref="H3:I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3"/>
  <sheetViews>
    <sheetView zoomScale="85" zoomScaleNormal="85" zoomScaleSheetLayoutView="70" workbookViewId="0">
      <pane ySplit="4" topLeftCell="A5" activePane="bottomLeft" state="frozen"/>
      <selection pane="bottomLeft" activeCell="B19" sqref="B19"/>
    </sheetView>
  </sheetViews>
  <sheetFormatPr defaultColWidth="8.90625" defaultRowHeight="13" x14ac:dyDescent="0.3"/>
  <cols>
    <col min="1" max="1" width="8.90625" style="4"/>
    <col min="2" max="2" width="31.54296875" style="4" customWidth="1"/>
    <col min="3" max="3" width="41.08984375" style="4" customWidth="1"/>
    <col min="4" max="4" width="25.90625" style="4" customWidth="1"/>
    <col min="5" max="5" width="19.54296875" style="4" customWidth="1"/>
    <col min="6" max="6" width="14.54296875" style="4" customWidth="1"/>
    <col min="7" max="7" width="13.1796875" style="4" customWidth="1"/>
    <col min="8" max="8" width="11.90625" style="4" customWidth="1"/>
    <col min="9" max="9" width="19.453125" style="4" customWidth="1"/>
    <col min="10" max="10" width="22.453125" style="4" customWidth="1"/>
    <col min="11" max="11" width="14.90625" style="4" customWidth="1"/>
    <col min="12" max="12" width="16.08984375" style="4" customWidth="1"/>
    <col min="13" max="16384" width="8.90625" style="4"/>
  </cols>
  <sheetData>
    <row r="1" spans="1:12" ht="42.65" customHeight="1" x14ac:dyDescent="0.3">
      <c r="A1" s="309" t="s">
        <v>137</v>
      </c>
      <c r="B1" s="309"/>
      <c r="C1" s="309"/>
      <c r="D1" s="309"/>
      <c r="E1" s="309"/>
      <c r="F1" s="309"/>
      <c r="G1" s="309"/>
      <c r="H1" s="309"/>
      <c r="I1" s="309"/>
      <c r="J1" s="309"/>
      <c r="K1" s="309"/>
    </row>
    <row r="2" spans="1:12" ht="30.65" customHeight="1" x14ac:dyDescent="0.3">
      <c r="A2" s="310" t="s">
        <v>2</v>
      </c>
      <c r="B2" s="314" t="s">
        <v>156</v>
      </c>
      <c r="C2" s="317" t="s">
        <v>157</v>
      </c>
      <c r="D2" s="305" t="s">
        <v>3</v>
      </c>
      <c r="E2" s="305" t="s">
        <v>158</v>
      </c>
      <c r="F2" s="305" t="s">
        <v>159</v>
      </c>
      <c r="G2" s="305" t="s">
        <v>160</v>
      </c>
      <c r="H2" s="305" t="s">
        <v>4</v>
      </c>
      <c r="I2" s="305" t="s">
        <v>5</v>
      </c>
      <c r="J2" s="305" t="s">
        <v>6</v>
      </c>
      <c r="K2" s="307" t="s">
        <v>161</v>
      </c>
      <c r="L2" s="307"/>
    </row>
    <row r="3" spans="1:12" ht="18" customHeight="1" x14ac:dyDescent="0.3">
      <c r="A3" s="311"/>
      <c r="B3" s="315"/>
      <c r="C3" s="318"/>
      <c r="D3" s="313"/>
      <c r="E3" s="313"/>
      <c r="F3" s="313"/>
      <c r="G3" s="313"/>
      <c r="H3" s="313"/>
      <c r="I3" s="313"/>
      <c r="J3" s="313"/>
      <c r="K3" s="305" t="s">
        <v>327</v>
      </c>
      <c r="L3" s="305" t="s">
        <v>382</v>
      </c>
    </row>
    <row r="4" spans="1:12" ht="16.399999999999999" customHeight="1" x14ac:dyDescent="0.3">
      <c r="A4" s="312"/>
      <c r="B4" s="316"/>
      <c r="C4" s="319"/>
      <c r="D4" s="306"/>
      <c r="E4" s="306"/>
      <c r="F4" s="306"/>
      <c r="G4" s="306"/>
      <c r="H4" s="306"/>
      <c r="I4" s="306"/>
      <c r="J4" s="306"/>
      <c r="K4" s="306"/>
      <c r="L4" s="306"/>
    </row>
    <row r="5" spans="1:12" s="252" customFormat="1" ht="145" customHeight="1" x14ac:dyDescent="0.3">
      <c r="A5" s="247">
        <v>1</v>
      </c>
      <c r="B5" s="248" t="s">
        <v>236</v>
      </c>
      <c r="C5" s="249" t="s">
        <v>446</v>
      </c>
      <c r="D5" s="248" t="s">
        <v>447</v>
      </c>
      <c r="E5" s="250" t="s">
        <v>237</v>
      </c>
      <c r="F5" s="250" t="s">
        <v>328</v>
      </c>
      <c r="G5" s="250" t="s">
        <v>87</v>
      </c>
      <c r="H5" s="250" t="s">
        <v>238</v>
      </c>
      <c r="I5" s="250">
        <v>2013</v>
      </c>
      <c r="J5" s="250" t="s">
        <v>239</v>
      </c>
      <c r="K5" s="250" t="s">
        <v>262</v>
      </c>
      <c r="L5" s="251">
        <v>10034.3723056038</v>
      </c>
    </row>
    <row r="6" spans="1:12" s="252" customFormat="1" ht="224" customHeight="1" x14ac:dyDescent="0.3">
      <c r="A6" s="247">
        <v>2</v>
      </c>
      <c r="B6" s="248" t="s">
        <v>243</v>
      </c>
      <c r="C6" s="249" t="s">
        <v>448</v>
      </c>
      <c r="D6" s="248" t="s">
        <v>449</v>
      </c>
      <c r="E6" s="250" t="s">
        <v>237</v>
      </c>
      <c r="F6" s="250" t="s">
        <v>328</v>
      </c>
      <c r="G6" s="250" t="s">
        <v>87</v>
      </c>
      <c r="H6" s="250" t="s">
        <v>238</v>
      </c>
      <c r="I6" s="250">
        <v>2013</v>
      </c>
      <c r="J6" s="250" t="s">
        <v>239</v>
      </c>
      <c r="K6" s="250" t="s">
        <v>262</v>
      </c>
      <c r="L6" s="251">
        <v>27682.082041392401</v>
      </c>
    </row>
    <row r="7" spans="1:12" s="252" customFormat="1" ht="129" customHeight="1" x14ac:dyDescent="0.3">
      <c r="A7" s="247">
        <v>3</v>
      </c>
      <c r="B7" s="248" t="s">
        <v>245</v>
      </c>
      <c r="C7" s="249" t="s">
        <v>450</v>
      </c>
      <c r="D7" s="248" t="s">
        <v>433</v>
      </c>
      <c r="E7" s="250" t="s">
        <v>237</v>
      </c>
      <c r="F7" s="250" t="s">
        <v>244</v>
      </c>
      <c r="G7" s="250" t="s">
        <v>87</v>
      </c>
      <c r="H7" s="250" t="s">
        <v>238</v>
      </c>
      <c r="I7" s="250">
        <v>2035</v>
      </c>
      <c r="J7" s="250" t="s">
        <v>239</v>
      </c>
      <c r="K7" s="250" t="s">
        <v>262</v>
      </c>
      <c r="L7" s="251">
        <v>12939.0681804858</v>
      </c>
    </row>
    <row r="8" spans="1:12" s="252" customFormat="1" ht="152.4" customHeight="1" x14ac:dyDescent="0.3">
      <c r="A8" s="247">
        <v>4</v>
      </c>
      <c r="B8" s="248" t="s">
        <v>248</v>
      </c>
      <c r="C8" s="249" t="s">
        <v>451</v>
      </c>
      <c r="D8" s="253" t="s">
        <v>434</v>
      </c>
      <c r="E8" s="250" t="s">
        <v>333</v>
      </c>
      <c r="F8" s="250" t="s">
        <v>244</v>
      </c>
      <c r="G8" s="250" t="s">
        <v>87</v>
      </c>
      <c r="H8" s="250" t="s">
        <v>238</v>
      </c>
      <c r="I8" s="250" t="s">
        <v>246</v>
      </c>
      <c r="J8" s="250" t="s">
        <v>247</v>
      </c>
      <c r="K8" s="250" t="s">
        <v>262</v>
      </c>
      <c r="L8" s="250" t="s">
        <v>262</v>
      </c>
    </row>
    <row r="9" spans="1:12" s="252" customFormat="1" ht="152.4" customHeight="1" x14ac:dyDescent="0.3">
      <c r="A9" s="247">
        <v>5</v>
      </c>
      <c r="B9" s="248" t="s">
        <v>452</v>
      </c>
      <c r="C9" s="249" t="s">
        <v>249</v>
      </c>
      <c r="D9" s="253" t="s">
        <v>250</v>
      </c>
      <c r="E9" s="250" t="s">
        <v>237</v>
      </c>
      <c r="F9" s="250" t="s">
        <v>328</v>
      </c>
      <c r="G9" s="250" t="s">
        <v>87</v>
      </c>
      <c r="H9" s="250" t="s">
        <v>238</v>
      </c>
      <c r="I9" s="250">
        <v>2023</v>
      </c>
      <c r="J9" s="250" t="s">
        <v>239</v>
      </c>
      <c r="K9" s="250" t="s">
        <v>262</v>
      </c>
      <c r="L9" s="251">
        <v>6017.9441999999999</v>
      </c>
    </row>
    <row r="10" spans="1:12" s="252" customFormat="1" ht="51.65" customHeight="1" x14ac:dyDescent="0.3">
      <c r="A10" s="247">
        <v>6</v>
      </c>
      <c r="B10" s="248" t="s">
        <v>258</v>
      </c>
      <c r="C10" s="249" t="s">
        <v>259</v>
      </c>
      <c r="D10" s="253" t="s">
        <v>255</v>
      </c>
      <c r="E10" s="250" t="s">
        <v>237</v>
      </c>
      <c r="F10" s="250" t="s">
        <v>263</v>
      </c>
      <c r="G10" s="250" t="s">
        <v>260</v>
      </c>
      <c r="H10" s="250" t="s">
        <v>261</v>
      </c>
      <c r="I10" s="250">
        <v>2021</v>
      </c>
      <c r="J10" s="250" t="s">
        <v>499</v>
      </c>
      <c r="K10" s="250" t="s">
        <v>262</v>
      </c>
      <c r="L10" s="254">
        <v>370</v>
      </c>
    </row>
    <row r="11" spans="1:12" s="252" customFormat="1" ht="56.4" customHeight="1" x14ac:dyDescent="0.3">
      <c r="A11" s="247">
        <v>7</v>
      </c>
      <c r="B11" s="248" t="s">
        <v>326</v>
      </c>
      <c r="C11" s="249" t="s">
        <v>442</v>
      </c>
      <c r="D11" s="253" t="s">
        <v>255</v>
      </c>
      <c r="E11" s="250" t="s">
        <v>237</v>
      </c>
      <c r="F11" s="250" t="s">
        <v>263</v>
      </c>
      <c r="G11" s="250" t="s">
        <v>260</v>
      </c>
      <c r="H11" s="250" t="s">
        <v>261</v>
      </c>
      <c r="I11" s="250">
        <v>2022</v>
      </c>
      <c r="J11" s="250" t="s">
        <v>264</v>
      </c>
      <c r="K11" s="250" t="s">
        <v>262</v>
      </c>
      <c r="L11" s="254">
        <v>390</v>
      </c>
    </row>
    <row r="12" spans="1:12" s="252" customFormat="1" ht="91.75" customHeight="1" x14ac:dyDescent="0.3">
      <c r="A12" s="247">
        <v>8</v>
      </c>
      <c r="B12" s="248" t="s">
        <v>468</v>
      </c>
      <c r="C12" s="255" t="s">
        <v>469</v>
      </c>
      <c r="D12" s="253" t="s">
        <v>255</v>
      </c>
      <c r="E12" s="250" t="s">
        <v>237</v>
      </c>
      <c r="F12" s="250" t="s">
        <v>263</v>
      </c>
      <c r="G12" s="250" t="s">
        <v>260</v>
      </c>
      <c r="H12" s="250" t="s">
        <v>261</v>
      </c>
      <c r="I12" s="250">
        <v>2024</v>
      </c>
      <c r="J12" s="250" t="s">
        <v>499</v>
      </c>
      <c r="K12" s="250" t="s">
        <v>262</v>
      </c>
      <c r="L12" s="251">
        <v>1117.3599999999999</v>
      </c>
    </row>
    <row r="13" spans="1:12" s="252" customFormat="1" ht="91.75" customHeight="1" x14ac:dyDescent="0.3">
      <c r="A13" s="247">
        <v>9</v>
      </c>
      <c r="B13" s="248" t="s">
        <v>470</v>
      </c>
      <c r="C13" s="255" t="s">
        <v>471</v>
      </c>
      <c r="D13" s="253" t="s">
        <v>472</v>
      </c>
      <c r="E13" s="250" t="s">
        <v>473</v>
      </c>
      <c r="F13" s="250" t="s">
        <v>263</v>
      </c>
      <c r="G13" s="250" t="s">
        <v>260</v>
      </c>
      <c r="H13" s="250" t="s">
        <v>261</v>
      </c>
      <c r="I13" s="250">
        <v>2024</v>
      </c>
      <c r="J13" s="250" t="s">
        <v>474</v>
      </c>
      <c r="K13" s="250" t="s">
        <v>262</v>
      </c>
      <c r="L13" s="251" t="s">
        <v>262</v>
      </c>
    </row>
    <row r="14" spans="1:12" s="252" customFormat="1" ht="64.650000000000006" customHeight="1" x14ac:dyDescent="0.3">
      <c r="A14" s="247">
        <v>10</v>
      </c>
      <c r="B14" s="248" t="s">
        <v>453</v>
      </c>
      <c r="C14" s="255" t="s">
        <v>475</v>
      </c>
      <c r="D14" s="253" t="s">
        <v>255</v>
      </c>
      <c r="E14" s="250" t="s">
        <v>436</v>
      </c>
      <c r="F14" s="250" t="s">
        <v>328</v>
      </c>
      <c r="G14" s="250" t="s">
        <v>90</v>
      </c>
      <c r="H14" s="250" t="s">
        <v>261</v>
      </c>
      <c r="I14" s="250" t="s">
        <v>297</v>
      </c>
      <c r="J14" s="250" t="s">
        <v>330</v>
      </c>
      <c r="K14" s="250" t="s">
        <v>262</v>
      </c>
      <c r="L14" s="250" t="s">
        <v>331</v>
      </c>
    </row>
    <row r="15" spans="1:12" s="252" customFormat="1" ht="64.650000000000006" customHeight="1" x14ac:dyDescent="0.3">
      <c r="A15" s="247">
        <v>11</v>
      </c>
      <c r="B15" s="248" t="s">
        <v>454</v>
      </c>
      <c r="C15" s="255" t="s">
        <v>476</v>
      </c>
      <c r="D15" s="253" t="s">
        <v>255</v>
      </c>
      <c r="E15" s="250" t="s">
        <v>436</v>
      </c>
      <c r="F15" s="250" t="s">
        <v>328</v>
      </c>
      <c r="G15" s="250" t="s">
        <v>90</v>
      </c>
      <c r="H15" s="250" t="s">
        <v>261</v>
      </c>
      <c r="I15" s="250" t="s">
        <v>297</v>
      </c>
      <c r="J15" s="250" t="s">
        <v>330</v>
      </c>
      <c r="K15" s="250" t="s">
        <v>262</v>
      </c>
      <c r="L15" s="250" t="s">
        <v>331</v>
      </c>
    </row>
    <row r="16" spans="1:12" s="252" customFormat="1" ht="64.650000000000006" customHeight="1" x14ac:dyDescent="0.3">
      <c r="A16" s="247">
        <v>12</v>
      </c>
      <c r="B16" s="248" t="s">
        <v>254</v>
      </c>
      <c r="C16" s="255" t="s">
        <v>477</v>
      </c>
      <c r="D16" s="253" t="s">
        <v>255</v>
      </c>
      <c r="E16" s="250" t="s">
        <v>436</v>
      </c>
      <c r="F16" s="250" t="s">
        <v>328</v>
      </c>
      <c r="G16" s="250" t="s">
        <v>91</v>
      </c>
      <c r="H16" s="250" t="s">
        <v>329</v>
      </c>
      <c r="I16" s="250" t="s">
        <v>297</v>
      </c>
      <c r="J16" s="250" t="s">
        <v>330</v>
      </c>
      <c r="K16" s="250" t="s">
        <v>262</v>
      </c>
      <c r="L16" s="254">
        <v>50</v>
      </c>
    </row>
    <row r="17" spans="1:12" s="252" customFormat="1" ht="64.650000000000006" customHeight="1" x14ac:dyDescent="0.3">
      <c r="A17" s="247">
        <v>13</v>
      </c>
      <c r="B17" s="253" t="s">
        <v>256</v>
      </c>
      <c r="C17" s="255" t="s">
        <v>478</v>
      </c>
      <c r="D17" s="253" t="s">
        <v>255</v>
      </c>
      <c r="E17" s="250" t="s">
        <v>436</v>
      </c>
      <c r="F17" s="250" t="s">
        <v>328</v>
      </c>
      <c r="G17" s="250" t="s">
        <v>91</v>
      </c>
      <c r="H17" s="250" t="s">
        <v>329</v>
      </c>
      <c r="I17" s="250" t="s">
        <v>282</v>
      </c>
      <c r="J17" s="250" t="s">
        <v>330</v>
      </c>
      <c r="K17" s="250" t="s">
        <v>262</v>
      </c>
      <c r="L17" s="254">
        <v>30</v>
      </c>
    </row>
    <row r="18" spans="1:12" s="252" customFormat="1" ht="64.650000000000006" customHeight="1" x14ac:dyDescent="0.3">
      <c r="A18" s="247">
        <v>14</v>
      </c>
      <c r="B18" s="253" t="s">
        <v>500</v>
      </c>
      <c r="C18" s="256" t="s">
        <v>257</v>
      </c>
      <c r="D18" s="253" t="s">
        <v>255</v>
      </c>
      <c r="E18" s="250" t="s">
        <v>436</v>
      </c>
      <c r="F18" s="250" t="s">
        <v>328</v>
      </c>
      <c r="G18" s="250" t="s">
        <v>91</v>
      </c>
      <c r="H18" s="250" t="s">
        <v>329</v>
      </c>
      <c r="I18" s="250" t="s">
        <v>297</v>
      </c>
      <c r="J18" s="250" t="s">
        <v>330</v>
      </c>
      <c r="K18" s="250" t="s">
        <v>262</v>
      </c>
      <c r="L18" s="251">
        <v>1000</v>
      </c>
    </row>
    <row r="19" spans="1:12" s="252" customFormat="1" ht="64.650000000000006" customHeight="1" x14ac:dyDescent="0.3">
      <c r="A19" s="247">
        <v>15</v>
      </c>
      <c r="B19" s="253" t="s">
        <v>479</v>
      </c>
      <c r="C19" s="256" t="s">
        <v>480</v>
      </c>
      <c r="D19" s="253" t="s">
        <v>255</v>
      </c>
      <c r="E19" s="250" t="s">
        <v>336</v>
      </c>
      <c r="F19" s="250" t="s">
        <v>328</v>
      </c>
      <c r="G19" s="250" t="s">
        <v>91</v>
      </c>
      <c r="H19" s="250" t="s">
        <v>261</v>
      </c>
      <c r="I19" s="250">
        <v>2021</v>
      </c>
      <c r="J19" s="250" t="s">
        <v>330</v>
      </c>
      <c r="K19" s="257" t="s">
        <v>262</v>
      </c>
      <c r="L19" s="251">
        <v>180</v>
      </c>
    </row>
    <row r="20" spans="1:12" s="252" customFormat="1" ht="114" customHeight="1" x14ac:dyDescent="0.3">
      <c r="A20" s="247">
        <v>16</v>
      </c>
      <c r="B20" s="253" t="s">
        <v>332</v>
      </c>
      <c r="C20" s="256" t="s">
        <v>481</v>
      </c>
      <c r="D20" s="258" t="s">
        <v>484</v>
      </c>
      <c r="E20" s="250" t="s">
        <v>482</v>
      </c>
      <c r="F20" s="250" t="s">
        <v>328</v>
      </c>
      <c r="G20" s="250" t="s">
        <v>437</v>
      </c>
      <c r="H20" s="250" t="s">
        <v>343</v>
      </c>
      <c r="I20" s="250">
        <v>2020</v>
      </c>
      <c r="J20" s="250" t="s">
        <v>483</v>
      </c>
      <c r="K20" s="303" t="s">
        <v>262</v>
      </c>
      <c r="L20" s="301">
        <v>239.54</v>
      </c>
    </row>
    <row r="21" spans="1:12" s="252" customFormat="1" ht="114" customHeight="1" x14ac:dyDescent="0.3">
      <c r="A21" s="247">
        <v>17</v>
      </c>
      <c r="B21" s="258" t="s">
        <v>485</v>
      </c>
      <c r="C21" s="256" t="s">
        <v>486</v>
      </c>
      <c r="D21" s="258" t="s">
        <v>487</v>
      </c>
      <c r="E21" s="250" t="s">
        <v>237</v>
      </c>
      <c r="F21" s="250" t="s">
        <v>328</v>
      </c>
      <c r="G21" s="250" t="s">
        <v>437</v>
      </c>
      <c r="H21" s="250" t="s">
        <v>343</v>
      </c>
      <c r="I21" s="250">
        <v>2021</v>
      </c>
      <c r="J21" s="250" t="s">
        <v>488</v>
      </c>
      <c r="K21" s="304"/>
      <c r="L21" s="302"/>
    </row>
    <row r="22" spans="1:12" s="252" customFormat="1" ht="79.650000000000006" customHeight="1" x14ac:dyDescent="0.3">
      <c r="A22" s="247">
        <v>18</v>
      </c>
      <c r="B22" s="256" t="s">
        <v>489</v>
      </c>
      <c r="C22" s="256" t="s">
        <v>334</v>
      </c>
      <c r="D22" s="253" t="s">
        <v>335</v>
      </c>
      <c r="E22" s="250" t="s">
        <v>336</v>
      </c>
      <c r="F22" s="250" t="s">
        <v>328</v>
      </c>
      <c r="G22" s="250" t="s">
        <v>437</v>
      </c>
      <c r="H22" s="250" t="s">
        <v>343</v>
      </c>
      <c r="I22" s="250">
        <v>2021</v>
      </c>
      <c r="J22" s="250" t="s">
        <v>337</v>
      </c>
      <c r="K22" s="250" t="s">
        <v>262</v>
      </c>
      <c r="L22" s="250">
        <v>236.58</v>
      </c>
    </row>
    <row r="23" spans="1:12" s="252" customFormat="1" ht="47.4" customHeight="1" x14ac:dyDescent="0.3">
      <c r="A23" s="247">
        <v>19</v>
      </c>
      <c r="B23" s="253" t="s">
        <v>338</v>
      </c>
      <c r="C23" s="256" t="s">
        <v>339</v>
      </c>
      <c r="D23" s="253" t="s">
        <v>340</v>
      </c>
      <c r="E23" s="250" t="s">
        <v>341</v>
      </c>
      <c r="F23" s="250" t="s">
        <v>328</v>
      </c>
      <c r="G23" s="250" t="s">
        <v>437</v>
      </c>
      <c r="H23" s="250" t="s">
        <v>343</v>
      </c>
      <c r="I23" s="250">
        <v>2023</v>
      </c>
      <c r="J23" s="250" t="s">
        <v>342</v>
      </c>
      <c r="K23" s="250" t="s">
        <v>262</v>
      </c>
      <c r="L23" s="250">
        <v>6.61</v>
      </c>
    </row>
    <row r="24" spans="1:12" ht="21.65" customHeight="1" x14ac:dyDescent="0.3">
      <c r="A24" s="17" t="s">
        <v>229</v>
      </c>
    </row>
    <row r="25" spans="1:12" ht="18.649999999999999" customHeight="1" x14ac:dyDescent="0.3">
      <c r="A25" s="62" t="s">
        <v>240</v>
      </c>
      <c r="B25" s="63"/>
      <c r="C25" s="63"/>
      <c r="D25" s="18"/>
      <c r="E25" s="18"/>
      <c r="F25" s="18"/>
      <c r="G25" s="18"/>
      <c r="H25" s="18"/>
      <c r="I25" s="18"/>
      <c r="J25" s="18"/>
      <c r="K25" s="18"/>
    </row>
    <row r="26" spans="1:12" ht="29.4" customHeight="1" x14ac:dyDescent="0.3">
      <c r="A26" s="308" t="s">
        <v>241</v>
      </c>
      <c r="B26" s="308"/>
      <c r="C26" s="308"/>
      <c r="D26" s="18"/>
      <c r="E26" s="18"/>
      <c r="F26" s="18"/>
      <c r="G26" s="18"/>
      <c r="H26" s="18"/>
      <c r="I26" s="18"/>
      <c r="J26" s="18"/>
      <c r="K26" s="18"/>
    </row>
    <row r="27" spans="1:12" x14ac:dyDescent="0.3">
      <c r="A27" s="18"/>
      <c r="B27" s="18"/>
      <c r="C27" s="18"/>
      <c r="D27" s="18"/>
      <c r="E27" s="18"/>
      <c r="F27" s="18"/>
      <c r="G27" s="18"/>
      <c r="H27" s="18"/>
      <c r="I27" s="18"/>
      <c r="J27" s="18"/>
      <c r="K27" s="18"/>
    </row>
    <row r="28" spans="1:12" x14ac:dyDescent="0.3">
      <c r="A28" s="4" t="s">
        <v>242</v>
      </c>
    </row>
    <row r="31" spans="1:12" ht="14.5" x14ac:dyDescent="0.3">
      <c r="A31" s="4" t="s">
        <v>193</v>
      </c>
    </row>
    <row r="32" spans="1:12" x14ac:dyDescent="0.3">
      <c r="A32" s="4" t="s">
        <v>7</v>
      </c>
    </row>
    <row r="33" spans="1:1" x14ac:dyDescent="0.3">
      <c r="A33" s="4" t="s">
        <v>8</v>
      </c>
    </row>
    <row r="34" spans="1:1" ht="14.5" x14ac:dyDescent="0.3">
      <c r="A34" s="4" t="s">
        <v>194</v>
      </c>
    </row>
    <row r="35" spans="1:1" x14ac:dyDescent="0.3">
      <c r="A35" s="4" t="s">
        <v>9</v>
      </c>
    </row>
    <row r="36" spans="1:1" x14ac:dyDescent="0.3">
      <c r="A36" s="4" t="s">
        <v>10</v>
      </c>
    </row>
    <row r="37" spans="1:1" ht="14.5" x14ac:dyDescent="0.3">
      <c r="A37" s="4" t="s">
        <v>195</v>
      </c>
    </row>
    <row r="38" spans="1:1" ht="14.5" x14ac:dyDescent="0.3">
      <c r="A38" s="4" t="s">
        <v>196</v>
      </c>
    </row>
    <row r="39" spans="1:1" x14ac:dyDescent="0.3">
      <c r="A39" s="4" t="s">
        <v>11</v>
      </c>
    </row>
    <row r="40" spans="1:1" ht="14.5" x14ac:dyDescent="0.3">
      <c r="A40" s="4" t="s">
        <v>197</v>
      </c>
    </row>
    <row r="41" spans="1:1" ht="14.5" x14ac:dyDescent="0.3">
      <c r="A41" s="4" t="s">
        <v>198</v>
      </c>
    </row>
    <row r="42" spans="1:1" x14ac:dyDescent="0.3">
      <c r="A42" s="4" t="s">
        <v>12</v>
      </c>
    </row>
    <row r="43" spans="1:1" ht="14.5" x14ac:dyDescent="0.3">
      <c r="A43" s="4" t="s">
        <v>199</v>
      </c>
    </row>
    <row r="44" spans="1:1" ht="14.5" x14ac:dyDescent="0.3">
      <c r="A44" s="4" t="s">
        <v>200</v>
      </c>
    </row>
    <row r="45" spans="1:1" ht="14.5" x14ac:dyDescent="0.3">
      <c r="A45" s="4" t="s">
        <v>201</v>
      </c>
    </row>
    <row r="46" spans="1:1" x14ac:dyDescent="0.3">
      <c r="A46" s="4" t="s">
        <v>13</v>
      </c>
    </row>
    <row r="47" spans="1:1" ht="14.5" x14ac:dyDescent="0.3">
      <c r="A47" s="4" t="s">
        <v>202</v>
      </c>
    </row>
    <row r="48" spans="1:1" x14ac:dyDescent="0.3">
      <c r="A48" s="4" t="s">
        <v>14</v>
      </c>
    </row>
    <row r="49" spans="1:1" ht="14.5" x14ac:dyDescent="0.3">
      <c r="A49" s="4" t="s">
        <v>203</v>
      </c>
    </row>
    <row r="50" spans="1:1" x14ac:dyDescent="0.3">
      <c r="A50" s="4" t="s">
        <v>15</v>
      </c>
    </row>
    <row r="52" spans="1:1" x14ac:dyDescent="0.3">
      <c r="A52" s="4" t="s">
        <v>16</v>
      </c>
    </row>
    <row r="53" spans="1:1" x14ac:dyDescent="0.3">
      <c r="A53" s="16"/>
    </row>
  </sheetData>
  <sheetProtection formatCells="0" formatColumns="0" formatRows="0" insertRows="0" deleteRows="0"/>
  <mergeCells count="17">
    <mergeCell ref="A1:K1"/>
    <mergeCell ref="A2:A4"/>
    <mergeCell ref="I2:I4"/>
    <mergeCell ref="J2:J4"/>
    <mergeCell ref="K3:K4"/>
    <mergeCell ref="F2:F4"/>
    <mergeCell ref="G2:G4"/>
    <mergeCell ref="H2:H4"/>
    <mergeCell ref="B2:B4"/>
    <mergeCell ref="C2:C4"/>
    <mergeCell ref="D2:D4"/>
    <mergeCell ref="E2:E4"/>
    <mergeCell ref="L20:L21"/>
    <mergeCell ref="K20:K21"/>
    <mergeCell ref="L3:L4"/>
    <mergeCell ref="K2:L2"/>
    <mergeCell ref="A26:C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43"/>
  <sheetViews>
    <sheetView topLeftCell="J1" workbookViewId="0">
      <selection activeCell="A18" sqref="A18:XFD18"/>
    </sheetView>
  </sheetViews>
  <sheetFormatPr defaultRowHeight="14.5" x14ac:dyDescent="0.35"/>
  <cols>
    <col min="1" max="1" width="3.54296875" customWidth="1"/>
    <col min="2" max="2" width="35.1796875" customWidth="1"/>
    <col min="3" max="3" width="9.1796875" customWidth="1"/>
    <col min="4" max="4" width="8.36328125" customWidth="1"/>
  </cols>
  <sheetData>
    <row r="1" spans="1:38" ht="18.5" x14ac:dyDescent="0.35">
      <c r="A1" s="309" t="s">
        <v>83</v>
      </c>
      <c r="B1" s="309"/>
      <c r="C1" s="309"/>
      <c r="D1" s="309"/>
      <c r="E1" s="309"/>
      <c r="F1" s="309"/>
      <c r="G1" s="309"/>
      <c r="H1" s="309"/>
      <c r="I1" s="309"/>
      <c r="J1" s="309"/>
      <c r="K1" s="309"/>
      <c r="L1" s="309"/>
    </row>
    <row r="3" spans="1:38" x14ac:dyDescent="0.35">
      <c r="A3" t="s">
        <v>84</v>
      </c>
    </row>
    <row r="4" spans="1:38" x14ac:dyDescent="0.35">
      <c r="A4" s="19" t="s">
        <v>85</v>
      </c>
    </row>
    <row r="5" spans="1:38" x14ac:dyDescent="0.35">
      <c r="A5" t="s">
        <v>86</v>
      </c>
    </row>
    <row r="6" spans="1:38" ht="15" thickBot="1" x14ac:dyDescent="0.4"/>
    <row r="7" spans="1:38" ht="57.5" x14ac:dyDescent="0.35">
      <c r="B7" s="64" t="s">
        <v>265</v>
      </c>
      <c r="C7" s="158" t="s">
        <v>465</v>
      </c>
      <c r="D7" s="158" t="s">
        <v>463</v>
      </c>
      <c r="E7" s="65" t="s">
        <v>266</v>
      </c>
      <c r="F7" s="65" t="s">
        <v>267</v>
      </c>
      <c r="G7" s="65" t="s">
        <v>268</v>
      </c>
      <c r="H7" s="65" t="s">
        <v>269</v>
      </c>
      <c r="I7" s="65" t="s">
        <v>270</v>
      </c>
      <c r="J7" s="65" t="s">
        <v>271</v>
      </c>
      <c r="K7" s="65" t="s">
        <v>272</v>
      </c>
      <c r="L7" s="65" t="s">
        <v>273</v>
      </c>
      <c r="M7" s="65" t="s">
        <v>274</v>
      </c>
      <c r="N7" s="65" t="s">
        <v>275</v>
      </c>
      <c r="O7" s="65" t="s">
        <v>276</v>
      </c>
      <c r="P7" s="65" t="s">
        <v>277</v>
      </c>
      <c r="Q7" s="65" t="s">
        <v>278</v>
      </c>
      <c r="R7" s="65" t="s">
        <v>279</v>
      </c>
      <c r="S7" s="65" t="s">
        <v>280</v>
      </c>
      <c r="T7" s="65" t="s">
        <v>281</v>
      </c>
      <c r="U7" s="65" t="s">
        <v>282</v>
      </c>
      <c r="V7" s="65" t="s">
        <v>283</v>
      </c>
      <c r="W7" s="65" t="s">
        <v>284</v>
      </c>
      <c r="X7" s="65" t="s">
        <v>285</v>
      </c>
      <c r="Y7" s="65" t="s">
        <v>286</v>
      </c>
      <c r="Z7" s="65" t="s">
        <v>287</v>
      </c>
      <c r="AA7" s="65" t="s">
        <v>288</v>
      </c>
      <c r="AB7" s="65" t="s">
        <v>289</v>
      </c>
      <c r="AC7" s="65" t="s">
        <v>290</v>
      </c>
      <c r="AD7" s="65" t="s">
        <v>291</v>
      </c>
      <c r="AE7" s="65" t="s">
        <v>292</v>
      </c>
      <c r="AF7" s="65" t="s">
        <v>293</v>
      </c>
      <c r="AG7" s="65" t="s">
        <v>294</v>
      </c>
      <c r="AH7" s="65" t="s">
        <v>295</v>
      </c>
      <c r="AI7" s="65" t="s">
        <v>296</v>
      </c>
      <c r="AJ7" s="65" t="s">
        <v>297</v>
      </c>
      <c r="AK7" s="65" t="s">
        <v>298</v>
      </c>
      <c r="AL7" s="66" t="s">
        <v>299</v>
      </c>
    </row>
    <row r="8" spans="1:38" ht="15.65" customHeight="1" thickBot="1" x14ac:dyDescent="0.4">
      <c r="B8" s="67"/>
      <c r="C8" s="320" t="s">
        <v>464</v>
      </c>
      <c r="D8" s="321"/>
      <c r="E8" s="322"/>
      <c r="F8" s="322"/>
      <c r="G8" s="68" t="s">
        <v>301</v>
      </c>
      <c r="H8" s="68" t="s">
        <v>301</v>
      </c>
      <c r="I8" s="68" t="s">
        <v>301</v>
      </c>
      <c r="J8" s="68" t="s">
        <v>301</v>
      </c>
      <c r="K8" s="68" t="s">
        <v>301</v>
      </c>
      <c r="L8" s="68" t="s">
        <v>301</v>
      </c>
      <c r="M8" s="68" t="s">
        <v>301</v>
      </c>
      <c r="N8" s="68" t="s">
        <v>301</v>
      </c>
      <c r="O8" s="68" t="s">
        <v>301</v>
      </c>
      <c r="P8" s="68" t="s">
        <v>301</v>
      </c>
      <c r="Q8" s="68" t="s">
        <v>301</v>
      </c>
      <c r="R8" s="68" t="s">
        <v>301</v>
      </c>
      <c r="S8" s="68" t="s">
        <v>301</v>
      </c>
      <c r="T8" s="68" t="s">
        <v>301</v>
      </c>
      <c r="U8" s="68" t="s">
        <v>301</v>
      </c>
      <c r="V8" s="68" t="s">
        <v>301</v>
      </c>
      <c r="W8" s="68" t="s">
        <v>301</v>
      </c>
      <c r="X8" s="68" t="s">
        <v>301</v>
      </c>
      <c r="Y8" s="68" t="s">
        <v>301</v>
      </c>
      <c r="Z8" s="68" t="s">
        <v>301</v>
      </c>
      <c r="AA8" s="68" t="s">
        <v>301</v>
      </c>
      <c r="AB8" s="68" t="s">
        <v>301</v>
      </c>
      <c r="AC8" s="68" t="s">
        <v>301</v>
      </c>
      <c r="AD8" s="68" t="s">
        <v>301</v>
      </c>
      <c r="AE8" s="68" t="s">
        <v>301</v>
      </c>
      <c r="AF8" s="68" t="s">
        <v>301</v>
      </c>
      <c r="AG8" s="68" t="s">
        <v>301</v>
      </c>
      <c r="AH8" s="68" t="s">
        <v>301</v>
      </c>
      <c r="AI8" s="68" t="s">
        <v>301</v>
      </c>
      <c r="AJ8" s="68" t="s">
        <v>301</v>
      </c>
      <c r="AK8" s="68" t="s">
        <v>301</v>
      </c>
      <c r="AL8" s="69" t="s">
        <v>302</v>
      </c>
    </row>
    <row r="9" spans="1:38" ht="15" thickTop="1" x14ac:dyDescent="0.35">
      <c r="B9" s="70" t="s">
        <v>308</v>
      </c>
      <c r="C9" s="71"/>
      <c r="D9" s="71"/>
      <c r="E9" s="71">
        <v>267405.35609501379</v>
      </c>
      <c r="F9" s="71">
        <v>260420.50733344399</v>
      </c>
      <c r="G9" s="71">
        <v>233523.39817007611</v>
      </c>
      <c r="H9" s="71">
        <v>207558.70931605707</v>
      </c>
      <c r="I9" s="71">
        <v>174671.11172623266</v>
      </c>
      <c r="J9" s="71">
        <v>168467.98492597038</v>
      </c>
      <c r="K9" s="71">
        <v>154715.70311893569</v>
      </c>
      <c r="L9" s="71">
        <v>147293.12578947935</v>
      </c>
      <c r="M9" s="71">
        <v>145621.86745158219</v>
      </c>
      <c r="N9" s="71">
        <v>118761.62808400099</v>
      </c>
      <c r="O9" s="71">
        <v>142196.98257234215</v>
      </c>
      <c r="P9" s="71">
        <v>138036.49488030674</v>
      </c>
      <c r="Q9" s="71">
        <v>156768.22356624354</v>
      </c>
      <c r="R9" s="71">
        <v>175021.96618400919</v>
      </c>
      <c r="S9" s="71">
        <v>185475.84372318868</v>
      </c>
      <c r="T9" s="71">
        <v>198448.55362719868</v>
      </c>
      <c r="U9" s="71">
        <v>219633.14904426996</v>
      </c>
      <c r="V9" s="71">
        <v>225712.39948813393</v>
      </c>
      <c r="W9" s="71">
        <v>226102.39378163542</v>
      </c>
      <c r="X9" s="71">
        <v>223189.22622978725</v>
      </c>
      <c r="Y9" s="71">
        <v>248092.76871015166</v>
      </c>
      <c r="Z9" s="71">
        <v>238156.9707009604</v>
      </c>
      <c r="AA9" s="71">
        <v>245262.9016742502</v>
      </c>
      <c r="AB9" s="71">
        <v>253532.73254511459</v>
      </c>
      <c r="AC9" s="71">
        <v>299137.33938181377</v>
      </c>
      <c r="AD9" s="71">
        <v>303052.27007578209</v>
      </c>
      <c r="AE9" s="71">
        <v>301738.82139232202</v>
      </c>
      <c r="AF9" s="71">
        <v>317720.42704936734</v>
      </c>
      <c r="AG9" s="71">
        <v>329572.12509605876</v>
      </c>
      <c r="AH9" s="71">
        <v>296039.62227161881</v>
      </c>
      <c r="AI9" s="71">
        <v>281789.17932734115</v>
      </c>
      <c r="AJ9" s="71">
        <v>244903.72279712683</v>
      </c>
      <c r="AK9" s="71">
        <v>274345.56945064128</v>
      </c>
      <c r="AL9" s="81">
        <f>AK9/E9-1</f>
        <v>2.5953905549900513E-2</v>
      </c>
    </row>
    <row r="10" spans="1:38" x14ac:dyDescent="0.35">
      <c r="B10" s="70" t="s">
        <v>309</v>
      </c>
      <c r="C10" s="71"/>
      <c r="D10" s="71"/>
      <c r="E10" s="71">
        <v>262589.04276168003</v>
      </c>
      <c r="F10" s="71">
        <v>255790.27733344358</v>
      </c>
      <c r="G10" s="71">
        <v>229086.25483674236</v>
      </c>
      <c r="H10" s="71">
        <v>203309.40931605667</v>
      </c>
      <c r="I10" s="71">
        <v>179367.26839289974</v>
      </c>
      <c r="J10" s="71">
        <v>182110.70559263829</v>
      </c>
      <c r="K10" s="71">
        <v>177304.20311893773</v>
      </c>
      <c r="L10" s="71">
        <v>178825.65245614888</v>
      </c>
      <c r="M10" s="71">
        <v>186103.33411825253</v>
      </c>
      <c r="N10" s="71">
        <v>155893.70475067102</v>
      </c>
      <c r="O10" s="71">
        <v>175982.63923901189</v>
      </c>
      <c r="P10" s="71">
        <v>171408.89621364311</v>
      </c>
      <c r="Q10" s="71">
        <v>189726.9772329132</v>
      </c>
      <c r="R10" s="71">
        <v>207567.66618401214</v>
      </c>
      <c r="S10" s="71">
        <v>224215.38705652553</v>
      </c>
      <c r="T10" s="71">
        <v>243382.09796053611</v>
      </c>
      <c r="U10" s="71">
        <v>270730.23537760793</v>
      </c>
      <c r="V10" s="71">
        <v>274637.20948813838</v>
      </c>
      <c r="W10" s="71">
        <v>272854.59378163965</v>
      </c>
      <c r="X10" s="71">
        <v>265297.92289645772</v>
      </c>
      <c r="Y10" s="71">
        <v>285899.95204348845</v>
      </c>
      <c r="Z10" s="71">
        <v>264228.20636762946</v>
      </c>
      <c r="AA10" s="71">
        <v>259755.32834091817</v>
      </c>
      <c r="AB10" s="71">
        <v>256495.03254511487</v>
      </c>
      <c r="AC10" s="71">
        <v>305704.81604848104</v>
      </c>
      <c r="AD10" s="71">
        <v>313477.18640911637</v>
      </c>
      <c r="AE10" s="71">
        <v>315811.63472565665</v>
      </c>
      <c r="AF10" s="71">
        <v>335557.44038270228</v>
      </c>
      <c r="AG10" s="71">
        <v>351146.1317627274</v>
      </c>
      <c r="AH10" s="71">
        <v>315164.73560495389</v>
      </c>
      <c r="AI10" s="71">
        <v>297752.82299400924</v>
      </c>
      <c r="AJ10" s="71">
        <v>249480.85946379392</v>
      </c>
      <c r="AK10" s="71">
        <v>278292.07611730829</v>
      </c>
      <c r="AL10" s="81">
        <f t="shared" ref="AL10:AL14" si="0">AK10/E10-1</f>
        <v>5.9800794391409395E-2</v>
      </c>
    </row>
    <row r="11" spans="1:38" x14ac:dyDescent="0.35">
      <c r="B11" s="70" t="s">
        <v>310</v>
      </c>
      <c r="C11" s="71"/>
      <c r="D11" s="71"/>
      <c r="E11" s="71">
        <v>106770.04032364905</v>
      </c>
      <c r="F11" s="71">
        <v>96157.568067599379</v>
      </c>
      <c r="G11" s="71">
        <v>92854.16571542673</v>
      </c>
      <c r="H11" s="71">
        <v>84304.169030523699</v>
      </c>
      <c r="I11" s="71">
        <v>71396.494464947566</v>
      </c>
      <c r="J11" s="71">
        <v>61441.201370348666</v>
      </c>
      <c r="K11" s="71">
        <v>59750.77819710903</v>
      </c>
      <c r="L11" s="71">
        <v>60245.335777096159</v>
      </c>
      <c r="M11" s="71">
        <v>67007.640466041179</v>
      </c>
      <c r="N11" s="71">
        <v>57610.968409560344</v>
      </c>
      <c r="O11" s="71">
        <v>58899.276823655731</v>
      </c>
      <c r="P11" s="71">
        <v>57257.738849854904</v>
      </c>
      <c r="Q11" s="71">
        <v>60943.736735159735</v>
      </c>
      <c r="R11" s="71">
        <v>63035.244880063125</v>
      </c>
      <c r="S11" s="71">
        <v>64108.182990798363</v>
      </c>
      <c r="T11" s="71">
        <v>61458.72066928295</v>
      </c>
      <c r="U11" s="71">
        <v>61032.039653731801</v>
      </c>
      <c r="V11" s="71">
        <v>57558.071754691133</v>
      </c>
      <c r="W11" s="71">
        <v>54563.214959214209</v>
      </c>
      <c r="X11" s="71">
        <v>51488.090351246705</v>
      </c>
      <c r="Y11" s="71">
        <v>49025.820977908799</v>
      </c>
      <c r="Z11" s="71">
        <v>49826.837383853985</v>
      </c>
      <c r="AA11" s="71">
        <v>48769.186684513254</v>
      </c>
      <c r="AB11" s="71">
        <v>49958.62633783339</v>
      </c>
      <c r="AC11" s="71">
        <v>51653.937970326813</v>
      </c>
      <c r="AD11" s="71">
        <v>51012.996863970147</v>
      </c>
      <c r="AE11" s="71">
        <v>51148.847428917681</v>
      </c>
      <c r="AF11" s="71">
        <v>54347.75124504057</v>
      </c>
      <c r="AG11" s="71">
        <v>57011.581729614547</v>
      </c>
      <c r="AH11" s="71">
        <v>57868.832973398443</v>
      </c>
      <c r="AI11" s="71">
        <v>57728.372315164968</v>
      </c>
      <c r="AJ11" s="71">
        <v>59198.846263543426</v>
      </c>
      <c r="AK11" s="71">
        <v>56746.044110989424</v>
      </c>
      <c r="AL11" s="81">
        <f t="shared" si="0"/>
        <v>-0.46852090774737254</v>
      </c>
    </row>
    <row r="12" spans="1:38" x14ac:dyDescent="0.35">
      <c r="B12" s="72" t="s">
        <v>311</v>
      </c>
      <c r="C12" s="71"/>
      <c r="D12" s="71"/>
      <c r="E12" s="71">
        <v>106785.13232364906</v>
      </c>
      <c r="F12" s="71">
        <v>96178.960067599386</v>
      </c>
      <c r="G12" s="71">
        <v>92869.565715426725</v>
      </c>
      <c r="H12" s="71">
        <v>84318.6730305237</v>
      </c>
      <c r="I12" s="71">
        <v>71444.598464947572</v>
      </c>
      <c r="J12" s="71">
        <v>61670.493370348668</v>
      </c>
      <c r="K12" s="71">
        <v>59846.56619710903</v>
      </c>
      <c r="L12" s="71">
        <v>60885.611777096157</v>
      </c>
      <c r="M12" s="71">
        <v>67141.78846604118</v>
      </c>
      <c r="N12" s="71">
        <v>57838.776409560342</v>
      </c>
      <c r="O12" s="71">
        <v>59040.844823655731</v>
      </c>
      <c r="P12" s="71">
        <v>57463.370849854902</v>
      </c>
      <c r="Q12" s="71">
        <v>61105.380735159735</v>
      </c>
      <c r="R12" s="71">
        <v>63414.308880063123</v>
      </c>
      <c r="S12" s="71">
        <v>64289.986990798359</v>
      </c>
      <c r="T12" s="71">
        <v>61600.036669282948</v>
      </c>
      <c r="U12" s="71">
        <v>61288.351653731799</v>
      </c>
      <c r="V12" s="71">
        <v>57753.903754691135</v>
      </c>
      <c r="W12" s="71">
        <v>54603.422959214207</v>
      </c>
      <c r="X12" s="71">
        <v>51513.626351246705</v>
      </c>
      <c r="Y12" s="71">
        <v>49077.508977908801</v>
      </c>
      <c r="Z12" s="71">
        <v>49853.857383853981</v>
      </c>
      <c r="AA12" s="71">
        <v>48787.750684513252</v>
      </c>
      <c r="AB12" s="71">
        <v>49961.930337833386</v>
      </c>
      <c r="AC12" s="71">
        <v>51693.417970326816</v>
      </c>
      <c r="AD12" s="71">
        <v>51101.448863970145</v>
      </c>
      <c r="AE12" s="71">
        <v>51159.739428917681</v>
      </c>
      <c r="AF12" s="71">
        <v>54584.015245040573</v>
      </c>
      <c r="AG12" s="71">
        <v>57069.373729614548</v>
      </c>
      <c r="AH12" s="71">
        <v>57944.684973398442</v>
      </c>
      <c r="AI12" s="71">
        <v>57814.080315164967</v>
      </c>
      <c r="AJ12" s="71">
        <v>59261.986263543426</v>
      </c>
      <c r="AK12" s="71">
        <v>56862.613710989426</v>
      </c>
      <c r="AL12" s="81">
        <f t="shared" si="0"/>
        <v>-0.46750439435100644</v>
      </c>
    </row>
    <row r="13" spans="1:38" x14ac:dyDescent="0.35">
      <c r="B13" s="72" t="s">
        <v>312</v>
      </c>
      <c r="C13" s="71"/>
      <c r="D13" s="71"/>
      <c r="E13" s="71">
        <v>16350.666078274211</v>
      </c>
      <c r="F13" s="71">
        <v>16225.78303391213</v>
      </c>
      <c r="G13" s="71">
        <v>17426.282965078932</v>
      </c>
      <c r="H13" s="71">
        <v>16875.426080906738</v>
      </c>
      <c r="I13" s="71">
        <v>14963.414297622194</v>
      </c>
      <c r="J13" s="71">
        <v>14566.994741559638</v>
      </c>
      <c r="K13" s="71">
        <v>14043.325072972071</v>
      </c>
      <c r="L13" s="71">
        <v>14316.30050849625</v>
      </c>
      <c r="M13" s="71">
        <v>15008.829884040606</v>
      </c>
      <c r="N13" s="71">
        <v>16560.118816069786</v>
      </c>
      <c r="O13" s="71">
        <v>17763.923358040371</v>
      </c>
      <c r="P13" s="71">
        <v>17697.411169041799</v>
      </c>
      <c r="Q13" s="71">
        <v>17732.383156295105</v>
      </c>
      <c r="R13" s="71">
        <v>17759.896509369621</v>
      </c>
      <c r="S13" s="71">
        <v>17648.483099609341</v>
      </c>
      <c r="T13" s="71">
        <v>17568.705448770488</v>
      </c>
      <c r="U13" s="71">
        <v>17692.111602282497</v>
      </c>
      <c r="V13" s="71">
        <v>17354.461353799004</v>
      </c>
      <c r="W13" s="71">
        <v>16378.978317157353</v>
      </c>
      <c r="X13" s="71">
        <v>15835.447123213948</v>
      </c>
      <c r="Y13" s="71">
        <v>14918.554989356846</v>
      </c>
      <c r="Z13" s="71">
        <v>14311.518118950935</v>
      </c>
      <c r="AA13" s="71">
        <v>13209.814354910419</v>
      </c>
      <c r="AB13" s="71">
        <v>12449.012327552697</v>
      </c>
      <c r="AC13" s="71">
        <v>13255.981712966581</v>
      </c>
      <c r="AD13" s="71">
        <v>13728.987341287186</v>
      </c>
      <c r="AE13" s="71">
        <v>14262.481351618228</v>
      </c>
      <c r="AF13" s="71">
        <v>15018.313956520811</v>
      </c>
      <c r="AG13" s="71">
        <v>15602.381644984986</v>
      </c>
      <c r="AH13" s="71">
        <v>15835.662634102182</v>
      </c>
      <c r="AI13" s="71">
        <v>17449.561769333697</v>
      </c>
      <c r="AJ13" s="71">
        <v>17091.754975513712</v>
      </c>
      <c r="AK13" s="71">
        <v>15093.751107510438</v>
      </c>
      <c r="AL13" s="81">
        <f t="shared" si="0"/>
        <v>-7.6872401695848191E-2</v>
      </c>
    </row>
    <row r="14" spans="1:38" x14ac:dyDescent="0.35">
      <c r="B14" s="72" t="s">
        <v>313</v>
      </c>
      <c r="C14" s="71"/>
      <c r="D14" s="71"/>
      <c r="E14" s="71">
        <v>16362.326078274211</v>
      </c>
      <c r="F14" s="71">
        <v>16240.62303391213</v>
      </c>
      <c r="G14" s="71">
        <v>17437.942965078932</v>
      </c>
      <c r="H14" s="71">
        <v>16886.821080906739</v>
      </c>
      <c r="I14" s="71">
        <v>15002.369297622194</v>
      </c>
      <c r="J14" s="71">
        <v>14751.169741559637</v>
      </c>
      <c r="K14" s="71">
        <v>14120.970072972072</v>
      </c>
      <c r="L14" s="71">
        <v>14758.58550849625</v>
      </c>
      <c r="M14" s="71">
        <v>15118.274884040606</v>
      </c>
      <c r="N14" s="71">
        <v>16743.498816069787</v>
      </c>
      <c r="O14" s="71">
        <v>17879.198358040372</v>
      </c>
      <c r="P14" s="71">
        <v>17863.566169041798</v>
      </c>
      <c r="Q14" s="71">
        <v>17863.293156295105</v>
      </c>
      <c r="R14" s="71">
        <v>18065.441509369619</v>
      </c>
      <c r="S14" s="71">
        <v>17776.47809960934</v>
      </c>
      <c r="T14" s="71">
        <v>17681.860448770487</v>
      </c>
      <c r="U14" s="71">
        <v>17898.811602282498</v>
      </c>
      <c r="V14" s="71">
        <v>17480.866353799003</v>
      </c>
      <c r="W14" s="71">
        <v>16411.043317157353</v>
      </c>
      <c r="X14" s="71">
        <v>15856.117123213948</v>
      </c>
      <c r="Y14" s="71">
        <v>14959.629989356847</v>
      </c>
      <c r="Z14" s="71">
        <v>14332.453118950934</v>
      </c>
      <c r="AA14" s="71">
        <v>13222.004354910419</v>
      </c>
      <c r="AB14" s="71">
        <v>12451.132327552697</v>
      </c>
      <c r="AC14" s="71">
        <v>13289.106712966581</v>
      </c>
      <c r="AD14" s="71">
        <v>13801.067341287186</v>
      </c>
      <c r="AE14" s="71">
        <v>14270.696351618228</v>
      </c>
      <c r="AF14" s="71">
        <v>15218.123956520811</v>
      </c>
      <c r="AG14" s="71">
        <v>15649.286644984986</v>
      </c>
      <c r="AH14" s="71">
        <v>15877.267634102182</v>
      </c>
      <c r="AI14" s="71">
        <v>17505.476769333698</v>
      </c>
      <c r="AJ14" s="71">
        <v>17139.454975513712</v>
      </c>
      <c r="AK14" s="71">
        <v>15159.868607510438</v>
      </c>
      <c r="AL14" s="81">
        <f t="shared" si="0"/>
        <v>-7.348939661827103E-2</v>
      </c>
    </row>
    <row r="15" spans="1:38" x14ac:dyDescent="0.35">
      <c r="B15" s="72" t="s">
        <v>101</v>
      </c>
      <c r="C15" s="71"/>
      <c r="D15" s="71"/>
      <c r="E15" s="71" t="s">
        <v>324</v>
      </c>
      <c r="F15" s="71" t="s">
        <v>324</v>
      </c>
      <c r="G15" s="71" t="s">
        <v>324</v>
      </c>
      <c r="H15" s="71">
        <v>0.33955957750000004</v>
      </c>
      <c r="I15" s="71">
        <v>1.135020484</v>
      </c>
      <c r="J15" s="71">
        <v>4.1199281553200002</v>
      </c>
      <c r="K15" s="71">
        <v>5.2805369171200001</v>
      </c>
      <c r="L15" s="71">
        <v>8.638820581920001</v>
      </c>
      <c r="M15" s="71">
        <v>94.629978109173678</v>
      </c>
      <c r="N15" s="71">
        <v>124.9147018476461</v>
      </c>
      <c r="O15" s="71">
        <v>259.26262924962055</v>
      </c>
      <c r="P15" s="71">
        <v>281.86291230277766</v>
      </c>
      <c r="Q15" s="71">
        <v>324.20054478816201</v>
      </c>
      <c r="R15" s="71">
        <v>443.59288616747466</v>
      </c>
      <c r="S15" s="71">
        <v>562.26054457455893</v>
      </c>
      <c r="T15" s="71">
        <v>613.32470806776178</v>
      </c>
      <c r="U15" s="71">
        <v>830.25961534459395</v>
      </c>
      <c r="V15" s="71">
        <v>884.78158968681521</v>
      </c>
      <c r="W15" s="71">
        <v>912.52069813413993</v>
      </c>
      <c r="X15" s="71">
        <v>943.22347550346728</v>
      </c>
      <c r="Y15" s="71">
        <v>939.00678597242086</v>
      </c>
      <c r="Z15" s="71">
        <v>997.93159334174641</v>
      </c>
      <c r="AA15" s="71">
        <v>1110.0706501366562</v>
      </c>
      <c r="AB15" s="71">
        <v>1161.2920139955711</v>
      </c>
      <c r="AC15" s="71">
        <v>1434.8013279505299</v>
      </c>
      <c r="AD15" s="71">
        <v>1493.9249643067694</v>
      </c>
      <c r="AE15" s="71">
        <v>1530.3649889042392</v>
      </c>
      <c r="AF15" s="71">
        <v>1764.7672365603132</v>
      </c>
      <c r="AG15" s="71">
        <v>1926.1080066853265</v>
      </c>
      <c r="AH15" s="71">
        <v>2067.6274278659735</v>
      </c>
      <c r="AI15" s="71">
        <v>2335.960226141678</v>
      </c>
      <c r="AJ15" s="71">
        <v>2528.8242597726048</v>
      </c>
      <c r="AK15" s="71">
        <v>2648.5432264509363</v>
      </c>
      <c r="AL15" s="81" t="s">
        <v>325</v>
      </c>
    </row>
    <row r="16" spans="1:38" x14ac:dyDescent="0.35">
      <c r="B16" s="72" t="s">
        <v>102</v>
      </c>
      <c r="C16" s="71"/>
      <c r="D16" s="71"/>
      <c r="E16" s="71" t="s">
        <v>324</v>
      </c>
      <c r="F16" s="71" t="s">
        <v>324</v>
      </c>
      <c r="G16" s="71" t="s">
        <v>324</v>
      </c>
      <c r="H16" s="71" t="s">
        <v>324</v>
      </c>
      <c r="I16" s="71" t="s">
        <v>324</v>
      </c>
      <c r="J16" s="71" t="s">
        <v>324</v>
      </c>
      <c r="K16" s="71" t="s">
        <v>324</v>
      </c>
      <c r="L16" s="71" t="s">
        <v>324</v>
      </c>
      <c r="M16" s="71" t="s">
        <v>324</v>
      </c>
      <c r="N16" s="71" t="s">
        <v>324</v>
      </c>
      <c r="O16" s="71" t="s">
        <v>324</v>
      </c>
      <c r="P16" s="71" t="s">
        <v>324</v>
      </c>
      <c r="Q16" s="71" t="s">
        <v>324</v>
      </c>
      <c r="R16" s="71" t="s">
        <v>324</v>
      </c>
      <c r="S16" s="71" t="s">
        <v>324</v>
      </c>
      <c r="T16" s="71" t="s">
        <v>324</v>
      </c>
      <c r="U16" s="71" t="s">
        <v>324</v>
      </c>
      <c r="V16" s="71">
        <v>26.788949999999996</v>
      </c>
      <c r="W16" s="71">
        <v>403.32716999999997</v>
      </c>
      <c r="X16" s="71">
        <v>313.11059999999998</v>
      </c>
      <c r="Y16" s="71">
        <v>559.79898000000003</v>
      </c>
      <c r="Z16" s="71">
        <v>476.49612000000002</v>
      </c>
      <c r="AA16" s="71">
        <v>476.84667000000007</v>
      </c>
      <c r="AB16" s="71">
        <v>212.63406000000001</v>
      </c>
      <c r="AC16" s="71">
        <v>179.64135000000002</v>
      </c>
      <c r="AD16" s="71">
        <v>176.85132000000002</v>
      </c>
      <c r="AE16" s="71">
        <v>188.00591999999997</v>
      </c>
      <c r="AF16" s="71">
        <v>75.591840000000005</v>
      </c>
      <c r="AG16" s="71">
        <v>114.90774000000002</v>
      </c>
      <c r="AH16" s="71">
        <v>11.393460000000001</v>
      </c>
      <c r="AI16" s="71">
        <v>9.6705600000000018</v>
      </c>
      <c r="AJ16" s="71">
        <v>8.6742000000000008</v>
      </c>
      <c r="AK16" s="71">
        <v>7.3856790000000005</v>
      </c>
      <c r="AL16" s="81" t="s">
        <v>325</v>
      </c>
    </row>
    <row r="17" spans="2:38" x14ac:dyDescent="0.35">
      <c r="B17" s="72" t="s">
        <v>303</v>
      </c>
      <c r="C17" s="71"/>
      <c r="D17" s="71"/>
      <c r="E17" s="71" t="s">
        <v>324</v>
      </c>
      <c r="F17" s="71" t="s">
        <v>324</v>
      </c>
      <c r="G17" s="71" t="s">
        <v>324</v>
      </c>
      <c r="H17" s="71" t="s">
        <v>324</v>
      </c>
      <c r="I17" s="71" t="s">
        <v>324</v>
      </c>
      <c r="J17" s="71" t="s">
        <v>324</v>
      </c>
      <c r="K17" s="71" t="s">
        <v>324</v>
      </c>
      <c r="L17" s="71" t="s">
        <v>324</v>
      </c>
      <c r="M17" s="71" t="s">
        <v>324</v>
      </c>
      <c r="N17" s="71" t="s">
        <v>324</v>
      </c>
      <c r="O17" s="71" t="s">
        <v>324</v>
      </c>
      <c r="P17" s="71" t="s">
        <v>324</v>
      </c>
      <c r="Q17" s="71" t="s">
        <v>324</v>
      </c>
      <c r="R17" s="71" t="s">
        <v>324</v>
      </c>
      <c r="S17" s="71" t="s">
        <v>324</v>
      </c>
      <c r="T17" s="71" t="s">
        <v>324</v>
      </c>
      <c r="U17" s="71" t="s">
        <v>324</v>
      </c>
      <c r="V17" s="71" t="s">
        <v>324</v>
      </c>
      <c r="W17" s="71" t="s">
        <v>324</v>
      </c>
      <c r="X17" s="71" t="s">
        <v>324</v>
      </c>
      <c r="Y17" s="71" t="s">
        <v>324</v>
      </c>
      <c r="Z17" s="71" t="s">
        <v>324</v>
      </c>
      <c r="AA17" s="71" t="s">
        <v>324</v>
      </c>
      <c r="AB17" s="71" t="s">
        <v>324</v>
      </c>
      <c r="AC17" s="71" t="s">
        <v>324</v>
      </c>
      <c r="AD17" s="71" t="s">
        <v>324</v>
      </c>
      <c r="AE17" s="71" t="s">
        <v>324</v>
      </c>
      <c r="AF17" s="71" t="s">
        <v>324</v>
      </c>
      <c r="AG17" s="71" t="s">
        <v>324</v>
      </c>
      <c r="AH17" s="71" t="s">
        <v>324</v>
      </c>
      <c r="AI17" s="71" t="s">
        <v>324</v>
      </c>
      <c r="AJ17" s="71" t="s">
        <v>324</v>
      </c>
      <c r="AK17" s="71" t="s">
        <v>324</v>
      </c>
      <c r="AL17" s="81" t="s">
        <v>325</v>
      </c>
    </row>
    <row r="18" spans="2:38" x14ac:dyDescent="0.35">
      <c r="B18" s="72" t="s">
        <v>314</v>
      </c>
      <c r="C18" s="71"/>
      <c r="D18" s="71"/>
      <c r="E18" s="71" t="s">
        <v>324</v>
      </c>
      <c r="F18" s="71" t="s">
        <v>324</v>
      </c>
      <c r="G18" s="71" t="s">
        <v>324</v>
      </c>
      <c r="H18" s="71" t="s">
        <v>324</v>
      </c>
      <c r="I18" s="71" t="s">
        <v>324</v>
      </c>
      <c r="J18" s="71" t="s">
        <v>324</v>
      </c>
      <c r="K18" s="71" t="s">
        <v>324</v>
      </c>
      <c r="L18" s="71" t="s">
        <v>324</v>
      </c>
      <c r="M18" s="71" t="s">
        <v>324</v>
      </c>
      <c r="N18" s="71" t="s">
        <v>324</v>
      </c>
      <c r="O18" s="71" t="s">
        <v>324</v>
      </c>
      <c r="P18" s="71" t="s">
        <v>324</v>
      </c>
      <c r="Q18" s="71" t="s">
        <v>324</v>
      </c>
      <c r="R18" s="71" t="s">
        <v>324</v>
      </c>
      <c r="S18" s="71" t="s">
        <v>324</v>
      </c>
      <c r="T18" s="71">
        <v>1.7155</v>
      </c>
      <c r="U18" s="71">
        <v>1.7389999999999999</v>
      </c>
      <c r="V18" s="71">
        <v>1.7625</v>
      </c>
      <c r="W18" s="71">
        <v>1.786</v>
      </c>
      <c r="X18" s="71">
        <v>1.786</v>
      </c>
      <c r="Y18" s="71">
        <v>1.786</v>
      </c>
      <c r="Z18" s="71">
        <v>1.8095000000000001</v>
      </c>
      <c r="AA18" s="71">
        <v>1.8800000000000001</v>
      </c>
      <c r="AB18" s="71">
        <v>1.9740000000000002</v>
      </c>
      <c r="AC18" s="71">
        <v>2.0680000000000001</v>
      </c>
      <c r="AD18" s="71">
        <v>2.0680000000000001</v>
      </c>
      <c r="AE18" s="71">
        <v>2.1149999999999998</v>
      </c>
      <c r="AF18" s="71">
        <v>2.1619999999999999</v>
      </c>
      <c r="AG18" s="71">
        <v>2.2090000000000001</v>
      </c>
      <c r="AH18" s="71">
        <v>2.3734999999999999</v>
      </c>
      <c r="AI18" s="71">
        <v>2.3734999999999999</v>
      </c>
      <c r="AJ18" s="71">
        <v>2.4675000000000002</v>
      </c>
      <c r="AK18" s="71">
        <v>2.5379999999999998</v>
      </c>
      <c r="AL18" s="81" t="s">
        <v>325</v>
      </c>
    </row>
    <row r="19" spans="2:38" ht="15" thickBot="1" x14ac:dyDescent="0.4">
      <c r="B19" s="72" t="s">
        <v>315</v>
      </c>
      <c r="C19" s="71"/>
      <c r="D19" s="71"/>
      <c r="E19" s="71" t="s">
        <v>324</v>
      </c>
      <c r="F19" s="71" t="s">
        <v>324</v>
      </c>
      <c r="G19" s="71" t="s">
        <v>324</v>
      </c>
      <c r="H19" s="71" t="s">
        <v>324</v>
      </c>
      <c r="I19" s="71" t="s">
        <v>324</v>
      </c>
      <c r="J19" s="71" t="s">
        <v>324</v>
      </c>
      <c r="K19" s="71" t="s">
        <v>324</v>
      </c>
      <c r="L19" s="71" t="s">
        <v>324</v>
      </c>
      <c r="M19" s="71" t="s">
        <v>324</v>
      </c>
      <c r="N19" s="71" t="s">
        <v>324</v>
      </c>
      <c r="O19" s="71" t="s">
        <v>324</v>
      </c>
      <c r="P19" s="71" t="s">
        <v>324</v>
      </c>
      <c r="Q19" s="71" t="s">
        <v>324</v>
      </c>
      <c r="R19" s="71" t="s">
        <v>324</v>
      </c>
      <c r="S19" s="71" t="s">
        <v>324</v>
      </c>
      <c r="T19" s="71" t="s">
        <v>324</v>
      </c>
      <c r="U19" s="71" t="s">
        <v>324</v>
      </c>
      <c r="V19" s="71" t="s">
        <v>324</v>
      </c>
      <c r="W19" s="71" t="s">
        <v>324</v>
      </c>
      <c r="X19" s="71" t="s">
        <v>324</v>
      </c>
      <c r="Y19" s="71" t="s">
        <v>324</v>
      </c>
      <c r="Z19" s="71" t="s">
        <v>324</v>
      </c>
      <c r="AA19" s="71" t="s">
        <v>324</v>
      </c>
      <c r="AB19" s="71" t="s">
        <v>324</v>
      </c>
      <c r="AC19" s="71" t="s">
        <v>324</v>
      </c>
      <c r="AD19" s="71" t="s">
        <v>324</v>
      </c>
      <c r="AE19" s="71" t="s">
        <v>324</v>
      </c>
      <c r="AF19" s="71" t="s">
        <v>324</v>
      </c>
      <c r="AG19" s="71" t="s">
        <v>324</v>
      </c>
      <c r="AH19" s="71" t="s">
        <v>324</v>
      </c>
      <c r="AI19" s="71" t="s">
        <v>324</v>
      </c>
      <c r="AJ19" s="71" t="s">
        <v>324</v>
      </c>
      <c r="AK19" s="71" t="s">
        <v>324</v>
      </c>
      <c r="AL19" s="81" t="s">
        <v>325</v>
      </c>
    </row>
    <row r="20" spans="2:38" x14ac:dyDescent="0.35">
      <c r="B20" s="73" t="s">
        <v>304</v>
      </c>
      <c r="C20" s="74"/>
      <c r="D20" s="74"/>
      <c r="E20" s="74">
        <v>390526.062496937</v>
      </c>
      <c r="F20" s="74">
        <v>372803.85843495553</v>
      </c>
      <c r="G20" s="74">
        <v>343803.84685058176</v>
      </c>
      <c r="H20" s="74">
        <v>308738.64398706501</v>
      </c>
      <c r="I20" s="74">
        <v>261032.15550928639</v>
      </c>
      <c r="J20" s="74">
        <v>244480.300966034</v>
      </c>
      <c r="K20" s="74">
        <v>228515.08692593389</v>
      </c>
      <c r="L20" s="74">
        <v>221863.40089565367</v>
      </c>
      <c r="M20" s="74">
        <v>227732.96777977317</v>
      </c>
      <c r="N20" s="74">
        <v>193057.63001147876</v>
      </c>
      <c r="O20" s="74">
        <v>219119.44538328791</v>
      </c>
      <c r="P20" s="74">
        <v>213273.50781150616</v>
      </c>
      <c r="Q20" s="74">
        <v>235768.54400248657</v>
      </c>
      <c r="R20" s="74">
        <v>256260.70045960936</v>
      </c>
      <c r="S20" s="74">
        <v>267794.77035817096</v>
      </c>
      <c r="T20" s="74">
        <v>278091.01995331998</v>
      </c>
      <c r="U20" s="74">
        <v>299189.29891562881</v>
      </c>
      <c r="V20" s="74">
        <v>301538.26563631085</v>
      </c>
      <c r="W20" s="74">
        <v>298362.22092614113</v>
      </c>
      <c r="X20" s="74">
        <v>291770.88377975131</v>
      </c>
      <c r="Y20" s="74">
        <v>313537.73644339002</v>
      </c>
      <c r="Z20" s="74">
        <v>303771.56341710704</v>
      </c>
      <c r="AA20" s="74">
        <v>308830.70003381051</v>
      </c>
      <c r="AB20" s="74">
        <v>317316.27128449618</v>
      </c>
      <c r="AC20" s="74">
        <v>365663.76974305772</v>
      </c>
      <c r="AD20" s="74">
        <v>369467.09856534598</v>
      </c>
      <c r="AE20" s="74">
        <v>368870.63608176215</v>
      </c>
      <c r="AF20" s="74">
        <v>388929.01332748908</v>
      </c>
      <c r="AG20" s="74">
        <v>404229.31321734359</v>
      </c>
      <c r="AH20" s="74">
        <v>371825.51226698549</v>
      </c>
      <c r="AI20" s="74">
        <v>359315.11964113102</v>
      </c>
      <c r="AJ20" s="74">
        <v>323734.28999595699</v>
      </c>
      <c r="AK20" s="74">
        <v>348843.83157459198</v>
      </c>
      <c r="AL20" s="83">
        <f>AK20/E20-1</f>
        <v>-0.10673354463422513</v>
      </c>
    </row>
    <row r="21" spans="2:38" x14ac:dyDescent="0.35">
      <c r="B21" s="75" t="s">
        <v>305</v>
      </c>
      <c r="C21" s="76"/>
      <c r="D21" s="76"/>
      <c r="E21" s="76">
        <v>385736.50116360321</v>
      </c>
      <c r="F21" s="76">
        <v>368209.8604349551</v>
      </c>
      <c r="G21" s="76">
        <v>339393.76351724804</v>
      </c>
      <c r="H21" s="76">
        <v>304515.24298706464</v>
      </c>
      <c r="I21" s="76">
        <v>265815.37117595348</v>
      </c>
      <c r="J21" s="76">
        <v>258536.48863270192</v>
      </c>
      <c r="K21" s="76">
        <v>251277.01992593595</v>
      </c>
      <c r="L21" s="76">
        <v>254478.48856232321</v>
      </c>
      <c r="M21" s="76">
        <v>268458.02744644351</v>
      </c>
      <c r="N21" s="76">
        <v>230600.89467814879</v>
      </c>
      <c r="O21" s="76">
        <v>253161.94504995763</v>
      </c>
      <c r="P21" s="76">
        <v>247017.69614484254</v>
      </c>
      <c r="Q21" s="76">
        <v>269019.85166915623</v>
      </c>
      <c r="R21" s="76">
        <v>289491.00945961231</v>
      </c>
      <c r="S21" s="76">
        <v>306844.11269150779</v>
      </c>
      <c r="T21" s="76">
        <v>323279.03528665728</v>
      </c>
      <c r="U21" s="76">
        <v>350749.39724896679</v>
      </c>
      <c r="V21" s="76">
        <v>350785.3126363153</v>
      </c>
      <c r="W21" s="76">
        <v>345186.69392614538</v>
      </c>
      <c r="X21" s="76">
        <v>333925.78644642181</v>
      </c>
      <c r="Y21" s="76">
        <v>351437.68277672649</v>
      </c>
      <c r="Z21" s="76">
        <v>329890.75408377609</v>
      </c>
      <c r="AA21" s="76">
        <v>323353.8807004785</v>
      </c>
      <c r="AB21" s="76">
        <v>320283.99528449646</v>
      </c>
      <c r="AC21" s="76">
        <v>372303.85140972497</v>
      </c>
      <c r="AD21" s="76">
        <v>380052.54689868045</v>
      </c>
      <c r="AE21" s="76">
        <v>382962.55641509674</v>
      </c>
      <c r="AF21" s="76">
        <v>407202.10066082404</v>
      </c>
      <c r="AG21" s="76">
        <v>425908.01688401221</v>
      </c>
      <c r="AH21" s="76">
        <v>391068.08260032057</v>
      </c>
      <c r="AI21" s="76">
        <v>375420.38630779914</v>
      </c>
      <c r="AJ21" s="76">
        <v>328422.26666262368</v>
      </c>
      <c r="AK21" s="76">
        <v>352973.02534125908</v>
      </c>
      <c r="AL21" s="84">
        <f>AK21/E21-1</f>
        <v>-8.4937452700251659E-2</v>
      </c>
    </row>
    <row r="22" spans="2:38" x14ac:dyDescent="0.35">
      <c r="B22" s="75" t="s">
        <v>306</v>
      </c>
      <c r="C22" s="76"/>
      <c r="D22" s="76"/>
      <c r="E22" s="76">
        <v>390526.062496937</v>
      </c>
      <c r="F22" s="76">
        <v>372803.85843495553</v>
      </c>
      <c r="G22" s="76">
        <v>343803.84685058176</v>
      </c>
      <c r="H22" s="76">
        <v>308738.64398706501</v>
      </c>
      <c r="I22" s="76">
        <v>261032.15550928639</v>
      </c>
      <c r="J22" s="76">
        <v>244480.300966034</v>
      </c>
      <c r="K22" s="76">
        <v>228515.08692593389</v>
      </c>
      <c r="L22" s="76">
        <v>221863.40089565367</v>
      </c>
      <c r="M22" s="76">
        <v>227732.96777977317</v>
      </c>
      <c r="N22" s="76">
        <v>193057.63001147876</v>
      </c>
      <c r="O22" s="76">
        <v>219119.44538328791</v>
      </c>
      <c r="P22" s="76">
        <v>213273.50781150616</v>
      </c>
      <c r="Q22" s="76">
        <v>235768.54400248657</v>
      </c>
      <c r="R22" s="76">
        <v>256260.70045960936</v>
      </c>
      <c r="S22" s="76">
        <v>267794.77035817096</v>
      </c>
      <c r="T22" s="76">
        <v>278091.01995331986</v>
      </c>
      <c r="U22" s="76">
        <v>299189.29891562881</v>
      </c>
      <c r="V22" s="76">
        <v>301538.26563631085</v>
      </c>
      <c r="W22" s="76">
        <v>298362.22092614113</v>
      </c>
      <c r="X22" s="76">
        <v>291770.88377975131</v>
      </c>
      <c r="Y22" s="76">
        <v>313537.73644338973</v>
      </c>
      <c r="Z22" s="76">
        <v>303771.56341710704</v>
      </c>
      <c r="AA22" s="76">
        <v>308830.70003381051</v>
      </c>
      <c r="AB22" s="76">
        <v>317316.27128449618</v>
      </c>
      <c r="AC22" s="76">
        <v>365663.76974305772</v>
      </c>
      <c r="AD22" s="76">
        <v>369467.09856534615</v>
      </c>
      <c r="AE22" s="76">
        <v>368870.63608176215</v>
      </c>
      <c r="AF22" s="76">
        <v>388929.01332748908</v>
      </c>
      <c r="AG22" s="76">
        <v>404229.31321734359</v>
      </c>
      <c r="AH22" s="76">
        <v>371825.51226698549</v>
      </c>
      <c r="AI22" s="76">
        <v>359315.11964113102</v>
      </c>
      <c r="AJ22" s="76">
        <v>323734.28999595658</v>
      </c>
      <c r="AK22" s="76">
        <v>348843.83157459204</v>
      </c>
      <c r="AL22" s="84">
        <f>AK22/E22-1</f>
        <v>-0.10673354463422502</v>
      </c>
    </row>
    <row r="23" spans="2:38" ht="15" thickBot="1" x14ac:dyDescent="0.4">
      <c r="B23" s="77" t="s">
        <v>307</v>
      </c>
      <c r="C23" s="78"/>
      <c r="D23" s="78"/>
      <c r="E23" s="78">
        <v>385736.50116360321</v>
      </c>
      <c r="F23" s="78">
        <v>368209.8604349551</v>
      </c>
      <c r="G23" s="78">
        <v>339393.76351724804</v>
      </c>
      <c r="H23" s="78">
        <v>304515.24298706464</v>
      </c>
      <c r="I23" s="78">
        <v>265815.37117595348</v>
      </c>
      <c r="J23" s="78">
        <v>258536.48863270201</v>
      </c>
      <c r="K23" s="78">
        <v>251277.01992593595</v>
      </c>
      <c r="L23" s="78">
        <v>254478.48856232321</v>
      </c>
      <c r="M23" s="78">
        <v>268458.02744644351</v>
      </c>
      <c r="N23" s="78">
        <v>230600.89467814879</v>
      </c>
      <c r="O23" s="78">
        <v>253161.94504995763</v>
      </c>
      <c r="P23" s="78">
        <v>247017.69614484254</v>
      </c>
      <c r="Q23" s="78">
        <v>269019.85166915623</v>
      </c>
      <c r="R23" s="78">
        <v>289491.00945961231</v>
      </c>
      <c r="S23" s="78">
        <v>306844.11269150779</v>
      </c>
      <c r="T23" s="78">
        <v>323279.03528665728</v>
      </c>
      <c r="U23" s="78">
        <v>350749.39724896679</v>
      </c>
      <c r="V23" s="78">
        <v>350785.3126363153</v>
      </c>
      <c r="W23" s="78">
        <v>345186.69392614538</v>
      </c>
      <c r="X23" s="78">
        <v>333925.78644642181</v>
      </c>
      <c r="Y23" s="78">
        <v>351437.68277672649</v>
      </c>
      <c r="Z23" s="78">
        <v>329890.75408377609</v>
      </c>
      <c r="AA23" s="78">
        <v>323353.8807004785</v>
      </c>
      <c r="AB23" s="78">
        <v>320283.99528449646</v>
      </c>
      <c r="AC23" s="78">
        <v>372303.85140972497</v>
      </c>
      <c r="AD23" s="78">
        <v>380052.54689868045</v>
      </c>
      <c r="AE23" s="78">
        <v>382962.55641509674</v>
      </c>
      <c r="AF23" s="78">
        <v>407202.10066082404</v>
      </c>
      <c r="AG23" s="78">
        <v>425908.01688401221</v>
      </c>
      <c r="AH23" s="78">
        <v>391068.08260032057</v>
      </c>
      <c r="AI23" s="78">
        <v>375420.38630779914</v>
      </c>
      <c r="AJ23" s="78">
        <v>328422.26666262368</v>
      </c>
      <c r="AK23" s="78">
        <v>352973.02534125908</v>
      </c>
      <c r="AL23" s="85">
        <f>AK23/E23-1</f>
        <v>-8.4937452700251659E-2</v>
      </c>
    </row>
    <row r="25" spans="2:38" ht="15" thickBot="1" x14ac:dyDescent="0.4"/>
    <row r="26" spans="2:38" ht="57.5" x14ac:dyDescent="0.35">
      <c r="B26" s="64" t="s">
        <v>316</v>
      </c>
      <c r="C26" s="158" t="s">
        <v>465</v>
      </c>
      <c r="D26" s="158" t="s">
        <v>463</v>
      </c>
      <c r="E26" s="65" t="s">
        <v>266</v>
      </c>
      <c r="F26" s="65" t="s">
        <v>267</v>
      </c>
      <c r="G26" s="65" t="s">
        <v>268</v>
      </c>
      <c r="H26" s="65" t="s">
        <v>269</v>
      </c>
      <c r="I26" s="65" t="s">
        <v>270</v>
      </c>
      <c r="J26" s="65" t="s">
        <v>271</v>
      </c>
      <c r="K26" s="65" t="s">
        <v>272</v>
      </c>
      <c r="L26" s="65" t="s">
        <v>273</v>
      </c>
      <c r="M26" s="65" t="s">
        <v>274</v>
      </c>
      <c r="N26" s="65" t="s">
        <v>275</v>
      </c>
      <c r="O26" s="65" t="s">
        <v>276</v>
      </c>
      <c r="P26" s="65" t="s">
        <v>277</v>
      </c>
      <c r="Q26" s="65" t="s">
        <v>278</v>
      </c>
      <c r="R26" s="65" t="s">
        <v>279</v>
      </c>
      <c r="S26" s="65" t="s">
        <v>280</v>
      </c>
      <c r="T26" s="65" t="s">
        <v>281</v>
      </c>
      <c r="U26" s="65" t="s">
        <v>282</v>
      </c>
      <c r="V26" s="65" t="s">
        <v>283</v>
      </c>
      <c r="W26" s="65" t="s">
        <v>284</v>
      </c>
      <c r="X26" s="65" t="s">
        <v>285</v>
      </c>
      <c r="Y26" s="65" t="s">
        <v>286</v>
      </c>
      <c r="Z26" s="65" t="s">
        <v>287</v>
      </c>
      <c r="AA26" s="65" t="s">
        <v>288</v>
      </c>
      <c r="AB26" s="65" t="s">
        <v>289</v>
      </c>
      <c r="AC26" s="65" t="s">
        <v>290</v>
      </c>
      <c r="AD26" s="65" t="s">
        <v>291</v>
      </c>
      <c r="AE26" s="65" t="s">
        <v>292</v>
      </c>
      <c r="AF26" s="65" t="s">
        <v>293</v>
      </c>
      <c r="AG26" s="65" t="s">
        <v>294</v>
      </c>
      <c r="AH26" s="65" t="s">
        <v>295</v>
      </c>
      <c r="AI26" s="65" t="s">
        <v>296</v>
      </c>
      <c r="AJ26" s="65" t="s">
        <v>297</v>
      </c>
      <c r="AK26" s="65" t="s">
        <v>298</v>
      </c>
      <c r="AL26" s="66" t="s">
        <v>299</v>
      </c>
    </row>
    <row r="27" spans="2:38" ht="18" customHeight="1" thickBot="1" x14ac:dyDescent="0.4">
      <c r="B27" s="67"/>
      <c r="C27" s="320" t="s">
        <v>464</v>
      </c>
      <c r="D27" s="321"/>
      <c r="E27" s="322"/>
      <c r="F27" s="322"/>
      <c r="G27" s="68" t="s">
        <v>301</v>
      </c>
      <c r="H27" s="68" t="s">
        <v>301</v>
      </c>
      <c r="I27" s="68" t="s">
        <v>301</v>
      </c>
      <c r="J27" s="68" t="s">
        <v>301</v>
      </c>
      <c r="K27" s="68" t="s">
        <v>301</v>
      </c>
      <c r="L27" s="68" t="s">
        <v>301</v>
      </c>
      <c r="M27" s="68" t="s">
        <v>301</v>
      </c>
      <c r="N27" s="68" t="s">
        <v>301</v>
      </c>
      <c r="O27" s="68" t="s">
        <v>301</v>
      </c>
      <c r="P27" s="68" t="s">
        <v>301</v>
      </c>
      <c r="Q27" s="68" t="s">
        <v>301</v>
      </c>
      <c r="R27" s="68" t="s">
        <v>301</v>
      </c>
      <c r="S27" s="68" t="s">
        <v>301</v>
      </c>
      <c r="T27" s="68" t="s">
        <v>301</v>
      </c>
      <c r="U27" s="68" t="s">
        <v>301</v>
      </c>
      <c r="V27" s="68" t="s">
        <v>301</v>
      </c>
      <c r="W27" s="68" t="s">
        <v>301</v>
      </c>
      <c r="X27" s="68" t="s">
        <v>301</v>
      </c>
      <c r="Y27" s="68" t="s">
        <v>301</v>
      </c>
      <c r="Z27" s="68" t="s">
        <v>301</v>
      </c>
      <c r="AA27" s="68" t="s">
        <v>301</v>
      </c>
      <c r="AB27" s="68" t="s">
        <v>301</v>
      </c>
      <c r="AC27" s="68" t="s">
        <v>301</v>
      </c>
      <c r="AD27" s="68" t="s">
        <v>301</v>
      </c>
      <c r="AE27" s="68" t="s">
        <v>301</v>
      </c>
      <c r="AF27" s="68" t="s">
        <v>301</v>
      </c>
      <c r="AG27" s="68" t="s">
        <v>301</v>
      </c>
      <c r="AH27" s="68" t="s">
        <v>301</v>
      </c>
      <c r="AI27" s="68" t="s">
        <v>301</v>
      </c>
      <c r="AJ27" s="68" t="s">
        <v>301</v>
      </c>
      <c r="AK27" s="68" t="s">
        <v>301</v>
      </c>
      <c r="AL27" s="69" t="s">
        <v>302</v>
      </c>
    </row>
    <row r="28" spans="2:38" ht="15" thickTop="1" x14ac:dyDescent="0.35">
      <c r="B28" s="72" t="s">
        <v>317</v>
      </c>
      <c r="C28" s="71"/>
      <c r="D28" s="71"/>
      <c r="E28" s="71">
        <v>322047.68381845381</v>
      </c>
      <c r="F28" s="71">
        <v>306128.11645827023</v>
      </c>
      <c r="G28" s="71">
        <v>278063.25841756706</v>
      </c>
      <c r="H28" s="71">
        <v>247089.3175007191</v>
      </c>
      <c r="I28" s="71">
        <v>210799.09941253424</v>
      </c>
      <c r="J28" s="71">
        <v>196103.91899487283</v>
      </c>
      <c r="K28" s="71">
        <v>186224.52846794744</v>
      </c>
      <c r="L28" s="71">
        <v>178067.47377442187</v>
      </c>
      <c r="M28" s="71">
        <v>183296.84820374456</v>
      </c>
      <c r="N28" s="71">
        <v>145926.94435349543</v>
      </c>
      <c r="O28" s="71">
        <v>170069.65892963496</v>
      </c>
      <c r="P28" s="71">
        <v>163157.09389824097</v>
      </c>
      <c r="Q28" s="71">
        <v>184753.48818192258</v>
      </c>
      <c r="R28" s="71">
        <v>202601.06930730573</v>
      </c>
      <c r="S28" s="71">
        <v>213248.68168984109</v>
      </c>
      <c r="T28" s="71">
        <v>222385.36709954651</v>
      </c>
      <c r="U28" s="71">
        <v>241025.99370545152</v>
      </c>
      <c r="V28" s="71">
        <v>242360.75825338479</v>
      </c>
      <c r="W28" s="71">
        <v>241191.28083441098</v>
      </c>
      <c r="X28" s="71">
        <v>235123.7963324452</v>
      </c>
      <c r="Y28" s="71">
        <v>258503.2988529506</v>
      </c>
      <c r="Z28" s="71">
        <v>249306.40059511564</v>
      </c>
      <c r="AA28" s="71">
        <v>255215.78869728604</v>
      </c>
      <c r="AB28" s="71">
        <v>261646.27991650574</v>
      </c>
      <c r="AC28" s="71">
        <v>308000.63487141376</v>
      </c>
      <c r="AD28" s="71">
        <v>309001.8758118418</v>
      </c>
      <c r="AE28" s="71">
        <v>307883.77914045198</v>
      </c>
      <c r="AF28" s="71">
        <v>325554.88201643137</v>
      </c>
      <c r="AG28" s="71">
        <v>340136.61409771675</v>
      </c>
      <c r="AH28" s="71">
        <v>305098.92457796558</v>
      </c>
      <c r="AI28" s="71">
        <v>288524.6131833258</v>
      </c>
      <c r="AJ28" s="71">
        <v>251405.6884695456</v>
      </c>
      <c r="AK28" s="71">
        <v>281922.24491455453</v>
      </c>
      <c r="AL28" s="82">
        <f>AK28/E28-1</f>
        <v>-0.12459471351614804</v>
      </c>
    </row>
    <row r="29" spans="2:38" x14ac:dyDescent="0.35">
      <c r="B29" s="72" t="s">
        <v>318</v>
      </c>
      <c r="C29" s="71"/>
      <c r="D29" s="71"/>
      <c r="E29" s="71">
        <v>22741.283086653988</v>
      </c>
      <c r="F29" s="71">
        <v>21717.253075386285</v>
      </c>
      <c r="G29" s="71">
        <v>19798.783524035709</v>
      </c>
      <c r="H29" s="71">
        <v>16822.87783073113</v>
      </c>
      <c r="I29" s="71">
        <v>12686.48115450156</v>
      </c>
      <c r="J29" s="71">
        <v>13991.216058472983</v>
      </c>
      <c r="K29" s="71">
        <v>12257.786189204246</v>
      </c>
      <c r="L29" s="71">
        <v>15775.82220953919</v>
      </c>
      <c r="M29" s="71">
        <v>16337.10707935798</v>
      </c>
      <c r="N29" s="71">
        <v>16793.683057406739</v>
      </c>
      <c r="O29" s="71">
        <v>17330.70479487074</v>
      </c>
      <c r="P29" s="71">
        <v>18150.152494483009</v>
      </c>
      <c r="Q29" s="71">
        <v>18403.058021737765</v>
      </c>
      <c r="R29" s="71">
        <v>20190.771804533277</v>
      </c>
      <c r="S29" s="71">
        <v>20312.394908491875</v>
      </c>
      <c r="T29" s="71">
        <v>20827.042539471342</v>
      </c>
      <c r="U29" s="71">
        <v>22407.75626044349</v>
      </c>
      <c r="V29" s="71">
        <v>23338.675298668099</v>
      </c>
      <c r="W29" s="71">
        <v>21689.788471197546</v>
      </c>
      <c r="X29" s="71">
        <v>21152.103090950357</v>
      </c>
      <c r="Y29" s="71">
        <v>20001.94631780636</v>
      </c>
      <c r="Z29" s="71">
        <v>20956.443451780411</v>
      </c>
      <c r="AA29" s="71">
        <v>20940.733990261117</v>
      </c>
      <c r="AB29" s="71">
        <v>23208.495645033279</v>
      </c>
      <c r="AC29" s="71">
        <v>23769.787856873765</v>
      </c>
      <c r="AD29" s="71">
        <v>25363.142173375367</v>
      </c>
      <c r="AE29" s="71">
        <v>24572.934609773343</v>
      </c>
      <c r="AF29" s="71">
        <v>25278.999622112318</v>
      </c>
      <c r="AG29" s="71">
        <v>24318.390165141864</v>
      </c>
      <c r="AH29" s="71">
        <v>25581.970094582688</v>
      </c>
      <c r="AI29" s="71">
        <v>26808.400000000001</v>
      </c>
      <c r="AJ29" s="71">
        <v>26870.855882906184</v>
      </c>
      <c r="AK29" s="71">
        <v>27006.797530689091</v>
      </c>
      <c r="AL29" s="82">
        <f>AK29/E29-1</f>
        <v>0.18756700876470656</v>
      </c>
    </row>
    <row r="30" spans="2:38" x14ac:dyDescent="0.35">
      <c r="B30" s="72" t="s">
        <v>319</v>
      </c>
      <c r="C30" s="71"/>
      <c r="D30" s="71"/>
      <c r="E30" s="71">
        <v>41767.223930000007</v>
      </c>
      <c r="F30" s="71">
        <v>41032.576889999997</v>
      </c>
      <c r="G30" s="71">
        <v>42143.033320000002</v>
      </c>
      <c r="H30" s="71">
        <v>41132.67695999999</v>
      </c>
      <c r="I30" s="71">
        <v>33976.82314</v>
      </c>
      <c r="J30" s="71">
        <v>30854.464139999996</v>
      </c>
      <c r="K30" s="71">
        <v>26489.190569999999</v>
      </c>
      <c r="L30" s="71">
        <v>24462.78312</v>
      </c>
      <c r="M30" s="71">
        <v>24531.870799999997</v>
      </c>
      <c r="N30" s="71">
        <v>26751.510829999999</v>
      </c>
      <c r="O30" s="71">
        <v>28073.669959999999</v>
      </c>
      <c r="P30" s="71">
        <v>28228.019719999997</v>
      </c>
      <c r="Q30" s="71">
        <v>28908.905909999998</v>
      </c>
      <c r="R30" s="71">
        <v>29736.667459999997</v>
      </c>
      <c r="S30" s="71">
        <v>30408.412059999995</v>
      </c>
      <c r="T30" s="71">
        <v>30975.918530000003</v>
      </c>
      <c r="U30" s="71">
        <v>31683.777459999998</v>
      </c>
      <c r="V30" s="71">
        <v>31679.610489999999</v>
      </c>
      <c r="W30" s="71">
        <v>31179.580040000001</v>
      </c>
      <c r="X30" s="71">
        <v>30918.360660000002</v>
      </c>
      <c r="Y30" s="71">
        <v>30266.045659999996</v>
      </c>
      <c r="Z30" s="71">
        <v>28726.332459999998</v>
      </c>
      <c r="AA30" s="71">
        <v>27745.218769999999</v>
      </c>
      <c r="AB30" s="71">
        <v>27420.92439</v>
      </c>
      <c r="AC30" s="71">
        <v>28677.813849999999</v>
      </c>
      <c r="AD30" s="71">
        <v>29811.37283</v>
      </c>
      <c r="AE30" s="71">
        <v>30998.357479999999</v>
      </c>
      <c r="AF30" s="71">
        <v>32557.635960000003</v>
      </c>
      <c r="AG30" s="71">
        <v>34093.244020000006</v>
      </c>
      <c r="AH30" s="71">
        <v>35288.351120000007</v>
      </c>
      <c r="AI30" s="71">
        <v>37474.821819999997</v>
      </c>
      <c r="AJ30" s="71">
        <v>38608.266310000006</v>
      </c>
      <c r="AK30" s="71">
        <v>32997.684880000001</v>
      </c>
      <c r="AL30" s="82">
        <f t="shared" ref="AL30:AL32" si="1">AK30/E30-1</f>
        <v>-0.20996221977063545</v>
      </c>
    </row>
    <row r="31" spans="2:38" x14ac:dyDescent="0.35">
      <c r="B31" s="72" t="s">
        <v>320</v>
      </c>
      <c r="C31" s="71"/>
      <c r="D31" s="71"/>
      <c r="E31" s="71">
        <v>-4789.5613333337715</v>
      </c>
      <c r="F31" s="71">
        <v>-4593.9980000004198</v>
      </c>
      <c r="G31" s="71">
        <v>-4410.0833333337341</v>
      </c>
      <c r="H31" s="71">
        <v>-4223.4010000003864</v>
      </c>
      <c r="I31" s="71">
        <v>4783.2156666670844</v>
      </c>
      <c r="J31" s="71">
        <v>14056.187666667907</v>
      </c>
      <c r="K31" s="71">
        <v>22761.933000002053</v>
      </c>
      <c r="L31" s="71">
        <v>32615.08766666954</v>
      </c>
      <c r="M31" s="71">
        <v>40725.05966667035</v>
      </c>
      <c r="N31" s="71">
        <v>37543.264666670024</v>
      </c>
      <c r="O31" s="71">
        <v>34042.499666669733</v>
      </c>
      <c r="P31" s="71">
        <v>33744.188333336373</v>
      </c>
      <c r="Q31" s="71">
        <v>33251.307666669672</v>
      </c>
      <c r="R31" s="71">
        <v>33230.309000002941</v>
      </c>
      <c r="S31" s="71">
        <v>39049.342333336856</v>
      </c>
      <c r="T31" s="71">
        <v>45188.015333337418</v>
      </c>
      <c r="U31" s="71">
        <v>51560.098333337977</v>
      </c>
      <c r="V31" s="71">
        <v>49247.047000004444</v>
      </c>
      <c r="W31" s="71">
        <v>46824.473000004255</v>
      </c>
      <c r="X31" s="71">
        <v>42154.902666670496</v>
      </c>
      <c r="Y31" s="71">
        <v>37899.946333336775</v>
      </c>
      <c r="Z31" s="71">
        <v>26119.190666669034</v>
      </c>
      <c r="AA31" s="71">
        <v>14523.180666667984</v>
      </c>
      <c r="AB31" s="71">
        <v>2967.7240000002694</v>
      </c>
      <c r="AC31" s="71">
        <v>6640.0816666672599</v>
      </c>
      <c r="AD31" s="71">
        <v>10585.448333334281</v>
      </c>
      <c r="AE31" s="71">
        <v>14091.920333334612</v>
      </c>
      <c r="AF31" s="71">
        <v>18273.087333334948</v>
      </c>
      <c r="AG31" s="71">
        <v>21678.703666668625</v>
      </c>
      <c r="AH31" s="71">
        <v>19242.570333335065</v>
      </c>
      <c r="AI31" s="71">
        <v>16105.266666668116</v>
      </c>
      <c r="AJ31" s="71">
        <v>4687.9766666670803</v>
      </c>
      <c r="AK31" s="71">
        <v>4129.1937666670283</v>
      </c>
      <c r="AL31" s="82" t="s">
        <v>207</v>
      </c>
    </row>
    <row r="32" spans="2:38" x14ac:dyDescent="0.35">
      <c r="B32" s="72" t="s">
        <v>321</v>
      </c>
      <c r="C32" s="71"/>
      <c r="D32" s="71"/>
      <c r="E32" s="71">
        <v>3969.8716618292001</v>
      </c>
      <c r="F32" s="71">
        <v>3925.9120112989999</v>
      </c>
      <c r="G32" s="71">
        <v>3798.7715889790006</v>
      </c>
      <c r="H32" s="71">
        <v>3693.7716956148001</v>
      </c>
      <c r="I32" s="71">
        <v>3569.7518022506006</v>
      </c>
      <c r="J32" s="71">
        <v>3530.7017726882004</v>
      </c>
      <c r="K32" s="71">
        <v>3543.5816987822</v>
      </c>
      <c r="L32" s="71">
        <v>3557.3217916925996</v>
      </c>
      <c r="M32" s="71">
        <v>3567.1416966705997</v>
      </c>
      <c r="N32" s="71">
        <v>3585.4917705765997</v>
      </c>
      <c r="O32" s="71">
        <v>3645.4116987822003</v>
      </c>
      <c r="P32" s="71">
        <v>3738.2416987822003</v>
      </c>
      <c r="Q32" s="71">
        <v>3703.0918888262004</v>
      </c>
      <c r="R32" s="71">
        <v>3732.1918877704006</v>
      </c>
      <c r="S32" s="71">
        <v>3825.2816998379999</v>
      </c>
      <c r="T32" s="71">
        <v>3902.6917843020001</v>
      </c>
      <c r="U32" s="71">
        <v>4071.7714897338001</v>
      </c>
      <c r="V32" s="71">
        <v>4159.2215942580006</v>
      </c>
      <c r="W32" s="71">
        <v>4301.5715805325999</v>
      </c>
      <c r="X32" s="71">
        <v>4576.6236963557994</v>
      </c>
      <c r="Y32" s="71">
        <v>4766.4456126327996</v>
      </c>
      <c r="Z32" s="71">
        <v>4782.3869102109993</v>
      </c>
      <c r="AA32" s="71">
        <v>4928.9585762633997</v>
      </c>
      <c r="AB32" s="71">
        <v>5040.5713329572</v>
      </c>
      <c r="AC32" s="71">
        <v>5215.5331647702005</v>
      </c>
      <c r="AD32" s="71">
        <v>5290.7077501289996</v>
      </c>
      <c r="AE32" s="71">
        <v>5415.5648515368002</v>
      </c>
      <c r="AF32" s="71">
        <v>5537.4957289453996</v>
      </c>
      <c r="AG32" s="71">
        <v>5681.0649344850008</v>
      </c>
      <c r="AH32" s="71">
        <v>5856.2664744371996</v>
      </c>
      <c r="AI32" s="71">
        <v>6507.2846378052</v>
      </c>
      <c r="AJ32" s="71">
        <v>6849.4793335048007</v>
      </c>
      <c r="AK32" s="71">
        <v>6917.1042493483992</v>
      </c>
      <c r="AL32" s="82">
        <f t="shared" si="1"/>
        <v>0.74239996618963766</v>
      </c>
    </row>
    <row r="33" spans="2:38" x14ac:dyDescent="0.35">
      <c r="B33" s="79" t="s">
        <v>322</v>
      </c>
      <c r="C33" s="80"/>
      <c r="D33" s="80"/>
      <c r="E33" s="80" t="s">
        <v>324</v>
      </c>
      <c r="F33" s="80" t="s">
        <v>324</v>
      </c>
      <c r="G33" s="80" t="s">
        <v>324</v>
      </c>
      <c r="H33" s="80" t="s">
        <v>324</v>
      </c>
      <c r="I33" s="80" t="s">
        <v>324</v>
      </c>
      <c r="J33" s="80" t="s">
        <v>324</v>
      </c>
      <c r="K33" s="80" t="s">
        <v>324</v>
      </c>
      <c r="L33" s="80" t="s">
        <v>324</v>
      </c>
      <c r="M33" s="80" t="s">
        <v>324</v>
      </c>
      <c r="N33" s="80" t="s">
        <v>324</v>
      </c>
      <c r="O33" s="80" t="s">
        <v>324</v>
      </c>
      <c r="P33" s="80" t="s">
        <v>324</v>
      </c>
      <c r="Q33" s="80" t="s">
        <v>324</v>
      </c>
      <c r="R33" s="80" t="s">
        <v>324</v>
      </c>
      <c r="S33" s="80" t="s">
        <v>324</v>
      </c>
      <c r="T33" s="80" t="s">
        <v>324</v>
      </c>
      <c r="U33" s="80" t="s">
        <v>324</v>
      </c>
      <c r="V33" s="80" t="s">
        <v>324</v>
      </c>
      <c r="W33" s="80" t="s">
        <v>324</v>
      </c>
      <c r="X33" s="80" t="s">
        <v>324</v>
      </c>
      <c r="Y33" s="80" t="s">
        <v>324</v>
      </c>
      <c r="Z33" s="80" t="s">
        <v>324</v>
      </c>
      <c r="AA33" s="80" t="s">
        <v>324</v>
      </c>
      <c r="AB33" s="80" t="s">
        <v>324</v>
      </c>
      <c r="AC33" s="80" t="s">
        <v>324</v>
      </c>
      <c r="AD33" s="80" t="s">
        <v>324</v>
      </c>
      <c r="AE33" s="80" t="s">
        <v>324</v>
      </c>
      <c r="AF33" s="80" t="s">
        <v>324</v>
      </c>
      <c r="AG33" s="80" t="s">
        <v>324</v>
      </c>
      <c r="AH33" s="80" t="s">
        <v>324</v>
      </c>
      <c r="AI33" s="80" t="s">
        <v>324</v>
      </c>
      <c r="AJ33" s="80" t="s">
        <v>324</v>
      </c>
      <c r="AK33" s="80" t="s">
        <v>324</v>
      </c>
      <c r="AL33" s="82" t="s">
        <v>325</v>
      </c>
    </row>
    <row r="34" spans="2:38" ht="15" thickBot="1" x14ac:dyDescent="0.4">
      <c r="B34" s="77" t="s">
        <v>323</v>
      </c>
      <c r="C34" s="78"/>
      <c r="D34" s="78"/>
      <c r="E34" s="78">
        <f>E28+E29+E30+E31+E32</f>
        <v>385736.50116360321</v>
      </c>
      <c r="F34" s="78">
        <f>F28+F29+F30+F31+F32</f>
        <v>368209.8604349551</v>
      </c>
      <c r="G34" s="78">
        <f t="shared" ref="G34:AK34" si="2">G28+G29+G30+G31+G32</f>
        <v>339393.76351724804</v>
      </c>
      <c r="H34" s="78">
        <f t="shared" si="2"/>
        <v>304515.24298706464</v>
      </c>
      <c r="I34" s="78">
        <f t="shared" si="2"/>
        <v>265815.37117595348</v>
      </c>
      <c r="J34" s="78">
        <f t="shared" si="2"/>
        <v>258536.48863270192</v>
      </c>
      <c r="K34" s="78">
        <f t="shared" si="2"/>
        <v>251277.01992593595</v>
      </c>
      <c r="L34" s="78">
        <f t="shared" si="2"/>
        <v>254478.48856232321</v>
      </c>
      <c r="M34" s="78">
        <f t="shared" si="2"/>
        <v>268458.02744644351</v>
      </c>
      <c r="N34" s="78">
        <f t="shared" si="2"/>
        <v>230600.89467814879</v>
      </c>
      <c r="O34" s="78">
        <f t="shared" si="2"/>
        <v>253161.94504995763</v>
      </c>
      <c r="P34" s="78">
        <f t="shared" si="2"/>
        <v>247017.69614484254</v>
      </c>
      <c r="Q34" s="78">
        <f t="shared" si="2"/>
        <v>269019.85166915623</v>
      </c>
      <c r="R34" s="78">
        <f t="shared" si="2"/>
        <v>289491.00945961231</v>
      </c>
      <c r="S34" s="78">
        <f t="shared" si="2"/>
        <v>306844.11269150779</v>
      </c>
      <c r="T34" s="78">
        <f t="shared" si="2"/>
        <v>323279.03528665728</v>
      </c>
      <c r="U34" s="78">
        <f t="shared" si="2"/>
        <v>350749.39724896679</v>
      </c>
      <c r="V34" s="78">
        <f t="shared" si="2"/>
        <v>350785.3126363153</v>
      </c>
      <c r="W34" s="78">
        <f t="shared" si="2"/>
        <v>345186.69392614538</v>
      </c>
      <c r="X34" s="78">
        <f t="shared" si="2"/>
        <v>333925.78644642181</v>
      </c>
      <c r="Y34" s="78">
        <f t="shared" si="2"/>
        <v>351437.68277672649</v>
      </c>
      <c r="Z34" s="78">
        <f t="shared" si="2"/>
        <v>329890.75408377609</v>
      </c>
      <c r="AA34" s="78">
        <f t="shared" si="2"/>
        <v>323353.8807004785</v>
      </c>
      <c r="AB34" s="78">
        <f t="shared" si="2"/>
        <v>320283.99528449646</v>
      </c>
      <c r="AC34" s="78">
        <f t="shared" si="2"/>
        <v>372303.85140972497</v>
      </c>
      <c r="AD34" s="78">
        <f t="shared" si="2"/>
        <v>380052.54689868045</v>
      </c>
      <c r="AE34" s="78">
        <f t="shared" si="2"/>
        <v>382962.55641509674</v>
      </c>
      <c r="AF34" s="78">
        <f t="shared" si="2"/>
        <v>407202.10066082404</v>
      </c>
      <c r="AG34" s="78">
        <f t="shared" si="2"/>
        <v>425908.01688401221</v>
      </c>
      <c r="AH34" s="78">
        <f t="shared" si="2"/>
        <v>391068.08260032057</v>
      </c>
      <c r="AI34" s="78">
        <f t="shared" si="2"/>
        <v>375420.38630779914</v>
      </c>
      <c r="AJ34" s="78">
        <f t="shared" si="2"/>
        <v>328422.26666262368</v>
      </c>
      <c r="AK34" s="78">
        <f t="shared" si="2"/>
        <v>352973.02534125908</v>
      </c>
      <c r="AL34" s="85">
        <f>AK34/E34-1</f>
        <v>-8.4937452700251659E-2</v>
      </c>
    </row>
    <row r="36" spans="2:38" ht="15" x14ac:dyDescent="0.35">
      <c r="B36" s="157" t="s">
        <v>455</v>
      </c>
    </row>
    <row r="37" spans="2:38" ht="15" x14ac:dyDescent="0.35">
      <c r="B37" s="157" t="s">
        <v>456</v>
      </c>
    </row>
    <row r="38" spans="2:38" ht="15" x14ac:dyDescent="0.35">
      <c r="B38" s="157" t="s">
        <v>457</v>
      </c>
    </row>
    <row r="39" spans="2:38" ht="15" x14ac:dyDescent="0.35">
      <c r="B39" s="157" t="s">
        <v>458</v>
      </c>
    </row>
    <row r="40" spans="2:38" ht="15" x14ac:dyDescent="0.35">
      <c r="B40" s="157" t="s">
        <v>459</v>
      </c>
    </row>
    <row r="41" spans="2:38" ht="15" x14ac:dyDescent="0.35">
      <c r="B41" s="157" t="s">
        <v>460</v>
      </c>
    </row>
    <row r="42" spans="2:38" ht="15" x14ac:dyDescent="0.35">
      <c r="B42" s="157" t="s">
        <v>461</v>
      </c>
    </row>
    <row r="43" spans="2:38" ht="15" x14ac:dyDescent="0.35">
      <c r="B43" s="157" t="s">
        <v>462</v>
      </c>
    </row>
  </sheetData>
  <mergeCells count="3">
    <mergeCell ref="A1:L1"/>
    <mergeCell ref="C8:F8"/>
    <mergeCell ref="C27:F27"/>
  </mergeCells>
  <dataValidations count="1">
    <dataValidation allowBlank="1" showInputMessage="1" showErrorMessage="1" sqref="G8 B8:D8 B9:F23 B26:B34 E26:F26 B7:F7 C28:F34 G34:AK34 C26:D27"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77"/>
  <sheetViews>
    <sheetView zoomScaleNormal="100" workbookViewId="0">
      <pane ySplit="3" topLeftCell="A6" activePane="bottomLeft" state="frozen"/>
      <selection pane="bottomLeft" activeCell="I20" sqref="I20"/>
    </sheetView>
  </sheetViews>
  <sheetFormatPr defaultRowHeight="14.5" x14ac:dyDescent="0.35"/>
  <cols>
    <col min="1" max="1" width="38.81640625" customWidth="1"/>
    <col min="2" max="2" width="18.6328125" customWidth="1"/>
    <col min="3" max="3" width="14.81640625" customWidth="1"/>
    <col min="4" max="4" width="14.1796875" customWidth="1"/>
    <col min="5" max="5" width="14.6328125" customWidth="1"/>
    <col min="6" max="6" width="15.6328125" customWidth="1"/>
    <col min="7" max="7" width="12.1796875" style="1" bestFit="1" customWidth="1"/>
    <col min="8" max="8" width="8.90625" style="1"/>
    <col min="9" max="9" width="10.1796875" style="1" customWidth="1"/>
    <col min="10" max="19" width="8.90625" style="1"/>
  </cols>
  <sheetData>
    <row r="1" spans="1:35" ht="30.65" customHeight="1" x14ac:dyDescent="0.45">
      <c r="A1" s="323" t="s">
        <v>171</v>
      </c>
      <c r="B1" s="323"/>
      <c r="C1" s="323"/>
      <c r="D1" s="323"/>
      <c r="E1" s="323"/>
      <c r="F1" s="323"/>
      <c r="T1" s="1"/>
      <c r="U1" s="1"/>
      <c r="V1" s="1"/>
      <c r="W1" s="1"/>
      <c r="X1" s="1"/>
      <c r="Y1" s="1"/>
      <c r="Z1" s="1"/>
      <c r="AA1" s="1"/>
      <c r="AB1" s="1"/>
      <c r="AC1" s="1"/>
      <c r="AD1" s="1"/>
      <c r="AE1" s="1"/>
      <c r="AF1" s="1"/>
      <c r="AG1" s="1"/>
      <c r="AH1" s="1"/>
      <c r="AI1" s="1"/>
    </row>
    <row r="2" spans="1:35" ht="61.75" customHeight="1" x14ac:dyDescent="0.35">
      <c r="A2" s="166"/>
      <c r="B2" s="167" t="s">
        <v>138</v>
      </c>
      <c r="C2" s="324" t="s">
        <v>139</v>
      </c>
      <c r="D2" s="324"/>
      <c r="E2" s="324"/>
      <c r="F2" s="325"/>
      <c r="T2" s="1"/>
      <c r="U2" s="1"/>
      <c r="V2" s="1"/>
      <c r="W2" s="1"/>
      <c r="X2" s="1"/>
      <c r="Y2" s="1"/>
      <c r="Z2" s="1"/>
      <c r="AA2" s="1"/>
      <c r="AB2" s="1"/>
      <c r="AC2" s="1"/>
    </row>
    <row r="3" spans="1:35" ht="21" customHeight="1" x14ac:dyDescent="0.35">
      <c r="A3" s="168"/>
      <c r="B3" s="57">
        <v>2022</v>
      </c>
      <c r="C3" s="57">
        <v>2025</v>
      </c>
      <c r="D3" s="57">
        <v>2030</v>
      </c>
      <c r="E3" s="57">
        <v>2035</v>
      </c>
      <c r="F3" s="165">
        <v>2040</v>
      </c>
      <c r="T3" s="1"/>
      <c r="U3" s="1"/>
      <c r="V3" s="1"/>
      <c r="W3" s="1"/>
      <c r="X3" s="1"/>
      <c r="Y3" s="1"/>
      <c r="Z3" s="1"/>
      <c r="AA3" s="1"/>
      <c r="AB3" s="1"/>
      <c r="AC3" s="1"/>
    </row>
    <row r="4" spans="1:35" ht="16.5" x14ac:dyDescent="0.35">
      <c r="A4" s="176" t="s">
        <v>169</v>
      </c>
      <c r="B4" s="88"/>
      <c r="C4" s="88"/>
      <c r="D4" s="88"/>
      <c r="E4" s="88"/>
      <c r="F4" s="198"/>
      <c r="T4" s="1"/>
      <c r="U4" s="1"/>
      <c r="V4" s="1"/>
      <c r="W4" s="1"/>
      <c r="X4" s="1"/>
      <c r="Y4" s="1"/>
      <c r="Z4" s="1"/>
      <c r="AA4" s="1"/>
      <c r="AB4" s="1"/>
      <c r="AC4" s="1"/>
    </row>
    <row r="5" spans="1:35" x14ac:dyDescent="0.35">
      <c r="A5" s="177" t="s">
        <v>87</v>
      </c>
      <c r="B5" s="182">
        <v>253947.73618572546</v>
      </c>
      <c r="C5" s="199">
        <v>262220.27768495638</v>
      </c>
      <c r="D5" s="199">
        <v>267657.47537729959</v>
      </c>
      <c r="E5" s="199">
        <v>274993.89910853194</v>
      </c>
      <c r="F5" s="200">
        <v>275467.12420907768</v>
      </c>
      <c r="T5" s="1"/>
      <c r="U5" s="1"/>
      <c r="V5" s="1"/>
      <c r="W5" s="1"/>
      <c r="X5" s="1"/>
      <c r="Y5" s="1"/>
      <c r="Z5" s="1"/>
      <c r="AA5" s="1"/>
      <c r="AB5" s="1"/>
      <c r="AC5" s="1"/>
    </row>
    <row r="6" spans="1:35" x14ac:dyDescent="0.35">
      <c r="A6" s="177" t="s">
        <v>88</v>
      </c>
      <c r="B6" s="182">
        <v>27974.508728829114</v>
      </c>
      <c r="C6" s="199">
        <v>32490.289101739043</v>
      </c>
      <c r="D6" s="199">
        <v>36803.940677428669</v>
      </c>
      <c r="E6" s="199">
        <v>39866.891925594995</v>
      </c>
      <c r="F6" s="200">
        <v>44484.747878386246</v>
      </c>
      <c r="T6" s="1"/>
      <c r="U6" s="1"/>
      <c r="V6" s="1"/>
      <c r="W6" s="1"/>
      <c r="X6" s="1"/>
      <c r="Y6" s="1"/>
      <c r="Z6" s="1"/>
      <c r="AA6" s="1"/>
      <c r="AB6" s="1"/>
      <c r="AC6" s="1"/>
    </row>
    <row r="7" spans="1:35" x14ac:dyDescent="0.35">
      <c r="A7" s="177" t="s">
        <v>89</v>
      </c>
      <c r="B7" s="182">
        <v>27006.798875238153</v>
      </c>
      <c r="C7" s="199">
        <v>30453.73367643229</v>
      </c>
      <c r="D7" s="199">
        <v>35699.705738068755</v>
      </c>
      <c r="E7" s="199">
        <v>39334.493421849184</v>
      </c>
      <c r="F7" s="200">
        <v>43341.381875985746</v>
      </c>
      <c r="T7" s="1"/>
      <c r="U7" s="1"/>
      <c r="V7" s="1"/>
      <c r="W7" s="1"/>
      <c r="X7" s="1"/>
      <c r="Y7" s="1"/>
      <c r="Z7" s="1"/>
      <c r="AA7" s="1"/>
      <c r="AB7" s="1"/>
      <c r="AC7" s="1"/>
    </row>
    <row r="8" spans="1:35" x14ac:dyDescent="0.35">
      <c r="A8" s="177" t="s">
        <v>90</v>
      </c>
      <c r="B8" s="182">
        <v>32997.684999999998</v>
      </c>
      <c r="C8" s="182">
        <v>32915.979999999996</v>
      </c>
      <c r="D8" s="182">
        <v>35439.46</v>
      </c>
      <c r="E8" s="182">
        <v>38132.720000000001</v>
      </c>
      <c r="F8" s="201">
        <v>41276.199999999997</v>
      </c>
      <c r="T8" s="1"/>
      <c r="U8" s="1"/>
      <c r="V8" s="1"/>
      <c r="W8" s="1"/>
      <c r="X8" s="1"/>
      <c r="Y8" s="1"/>
      <c r="Z8" s="1"/>
      <c r="AA8" s="1"/>
      <c r="AB8" s="1"/>
      <c r="AC8" s="1"/>
    </row>
    <row r="9" spans="1:35" x14ac:dyDescent="0.35">
      <c r="A9" s="177" t="s">
        <v>91</v>
      </c>
      <c r="B9" s="202">
        <v>4129.1937666670301</v>
      </c>
      <c r="C9" s="203">
        <v>2479.9899999999998</v>
      </c>
      <c r="D9" s="204">
        <v>-454.14</v>
      </c>
      <c r="E9" s="204">
        <v>-3466.9</v>
      </c>
      <c r="F9" s="205">
        <v>-5961.42</v>
      </c>
      <c r="T9" s="1"/>
      <c r="U9" s="1"/>
      <c r="V9" s="1"/>
      <c r="W9" s="1"/>
      <c r="X9" s="1"/>
      <c r="Y9" s="1"/>
      <c r="Z9" s="1"/>
      <c r="AA9" s="1"/>
      <c r="AB9" s="1"/>
      <c r="AC9" s="1"/>
    </row>
    <row r="10" spans="1:35" x14ac:dyDescent="0.35">
      <c r="A10" s="177" t="s">
        <v>92</v>
      </c>
      <c r="B10" s="199">
        <v>6917.1042493483992</v>
      </c>
      <c r="C10" s="199">
        <v>7174.4913999999999</v>
      </c>
      <c r="D10" s="199">
        <v>7633.7662094400011</v>
      </c>
      <c r="E10" s="199">
        <v>8126.3877700799994</v>
      </c>
      <c r="F10" s="200">
        <v>8656.3639370100009</v>
      </c>
      <c r="T10" s="1"/>
      <c r="U10" s="1"/>
      <c r="V10" s="1"/>
      <c r="W10" s="1"/>
      <c r="X10" s="1"/>
      <c r="Y10" s="1"/>
      <c r="Z10" s="1"/>
      <c r="AA10" s="1"/>
      <c r="AB10" s="1"/>
      <c r="AC10" s="1"/>
    </row>
    <row r="11" spans="1:35" x14ac:dyDescent="0.35">
      <c r="A11" s="178" t="s">
        <v>93</v>
      </c>
      <c r="B11" s="206"/>
      <c r="C11" s="206"/>
      <c r="D11" s="206"/>
      <c r="E11" s="206"/>
      <c r="F11" s="207"/>
      <c r="T11" s="1"/>
      <c r="U11" s="1"/>
      <c r="V11" s="1"/>
      <c r="W11" s="1"/>
      <c r="X11" s="1"/>
      <c r="Y11" s="1"/>
      <c r="Z11" s="1"/>
      <c r="AA11" s="1"/>
      <c r="AB11" s="1"/>
      <c r="AC11" s="1"/>
    </row>
    <row r="12" spans="1:35" x14ac:dyDescent="0.35">
      <c r="A12" s="176" t="s">
        <v>94</v>
      </c>
      <c r="B12" s="208"/>
      <c r="C12" s="209"/>
      <c r="D12" s="209"/>
      <c r="E12" s="209"/>
      <c r="F12" s="210"/>
      <c r="T12" s="1"/>
      <c r="U12" s="1"/>
      <c r="V12" s="1"/>
      <c r="W12" s="1"/>
      <c r="X12" s="1"/>
      <c r="Y12" s="1"/>
      <c r="Z12" s="1"/>
      <c r="AA12" s="1"/>
      <c r="AB12" s="1"/>
      <c r="AC12" s="1"/>
    </row>
    <row r="13" spans="1:35" x14ac:dyDescent="0.35">
      <c r="A13" s="177" t="s">
        <v>95</v>
      </c>
      <c r="B13" s="211">
        <f>250176.855321163+24165.38+3.09+0.25+3946.50667</f>
        <v>278292.08199116297</v>
      </c>
      <c r="C13" s="212">
        <f>259709.07+27467.02+0.3+2297.26</f>
        <v>289473.65000000002</v>
      </c>
      <c r="D13" s="212">
        <f>269389.5431+32459.95+0.29+(-636.87)</f>
        <v>301212.91310000001</v>
      </c>
      <c r="E13" s="212">
        <f>279859.92+35838.39+0.295+(-3649.63)</f>
        <v>312048.97499999998</v>
      </c>
      <c r="F13" s="213">
        <f>285062.522299059+39568.4919+0.29+(-6144.15)</f>
        <v>318487.154199059</v>
      </c>
      <c r="T13" s="1"/>
      <c r="U13" s="1"/>
      <c r="V13" s="1"/>
      <c r="W13" s="1"/>
      <c r="X13" s="1"/>
      <c r="Y13" s="1"/>
      <c r="Z13" s="1"/>
      <c r="AA13" s="1"/>
      <c r="AB13" s="1"/>
      <c r="AC13" s="1"/>
    </row>
    <row r="14" spans="1:35" x14ac:dyDescent="0.35">
      <c r="A14" s="177" t="s">
        <v>96</v>
      </c>
      <c r="B14" s="214">
        <f>250176.855321163+24165.38+3.09+0.25</f>
        <v>274345.57532116299</v>
      </c>
      <c r="C14" s="215">
        <f>259709.07+27467.02+0.29</f>
        <v>287176.38</v>
      </c>
      <c r="D14" s="215">
        <f>269389.5431+32459.943+0.3</f>
        <v>301849.78609999997</v>
      </c>
      <c r="E14" s="215">
        <f>279859.9221+35838.4+0.3</f>
        <v>315698.62210000004</v>
      </c>
      <c r="F14" s="216">
        <f>285062.522299059+39568.4919+0.29</f>
        <v>324631.30419905903</v>
      </c>
      <c r="T14" s="1"/>
      <c r="U14" s="1"/>
      <c r="V14" s="1"/>
      <c r="W14" s="1"/>
      <c r="X14" s="1"/>
      <c r="Y14" s="1"/>
      <c r="Z14" s="1"/>
      <c r="AA14" s="1"/>
      <c r="AB14" s="1"/>
      <c r="AC14" s="1"/>
    </row>
    <row r="15" spans="1:35" x14ac:dyDescent="0.35">
      <c r="A15" s="177" t="s">
        <v>97</v>
      </c>
      <c r="B15" s="211">
        <f>30288.4792368631+10.62+19946.22+6500.76+116.5696</f>
        <v>56862.648836863103</v>
      </c>
      <c r="C15" s="212">
        <f>33985.7566+10.9+21107.35+6737.94+116.48</f>
        <v>61958.426600000006</v>
      </c>
      <c r="D15" s="212">
        <f>34049.7439565186+11.46+22471.82+7184.66+116.48</f>
        <v>63834.163956518598</v>
      </c>
      <c r="E15" s="212">
        <f>33940.036+12.04+23899.23+7664.99+116.48</f>
        <v>65632.775999999998</v>
      </c>
      <c r="F15" s="213">
        <f>33818.174+12.66+25584.495+8182.97+116.48</f>
        <v>67714.778999999995</v>
      </c>
      <c r="T15" s="1"/>
      <c r="U15" s="1"/>
      <c r="V15" s="1"/>
      <c r="W15" s="1"/>
      <c r="X15" s="1"/>
      <c r="Y15" s="1"/>
      <c r="Z15" s="1"/>
      <c r="AA15" s="1"/>
      <c r="AB15" s="1"/>
      <c r="AC15" s="1"/>
    </row>
    <row r="16" spans="1:35" ht="16.25" customHeight="1" x14ac:dyDescent="0.35">
      <c r="A16" s="177" t="s">
        <v>98</v>
      </c>
      <c r="B16" s="214">
        <f>30288.4792368631+10.62+19946.22+6500.76</f>
        <v>56746.079236863101</v>
      </c>
      <c r="C16" s="215">
        <f>33985.7566296767+10.9+21107.35+6737.94</f>
        <v>61841.946629676706</v>
      </c>
      <c r="D16" s="215">
        <f>34049.7439565186+11.46+22471.82+7184.66</f>
        <v>63717.683956518595</v>
      </c>
      <c r="E16" s="215">
        <f>33940.0367874692+12.04+23899.23+7664.99</f>
        <v>65516.296787469204</v>
      </c>
      <c r="F16" s="216">
        <f>33818.174+12.66+25584.49+8182.97</f>
        <v>67598.294000000009</v>
      </c>
      <c r="T16" s="1"/>
      <c r="U16" s="1"/>
      <c r="V16" s="1"/>
      <c r="W16" s="1"/>
      <c r="X16" s="1"/>
      <c r="Y16" s="1"/>
      <c r="Z16" s="1"/>
      <c r="AA16" s="1"/>
      <c r="AB16" s="1"/>
      <c r="AC16" s="1"/>
    </row>
    <row r="17" spans="1:29" x14ac:dyDescent="0.35">
      <c r="A17" s="177" t="s">
        <v>99</v>
      </c>
      <c r="B17" s="211">
        <f>1456.91035652844+172.36+13048.377+416.09+66.1175</f>
        <v>15159.85485652844</v>
      </c>
      <c r="C17" s="212">
        <f>1015.728+195.92+11808.63+436.26+66.25</f>
        <v>13522.787999999999</v>
      </c>
      <c r="D17" s="212">
        <f>1022.12890747195+233.56+12967.64+448.82+66.25</f>
        <v>14738.398907471948</v>
      </c>
      <c r="E17" s="212">
        <f>1060.83+257.87+14233.49+461.11+66.25</f>
        <v>16079.55</v>
      </c>
      <c r="F17" s="213">
        <f>1071.1758306242+284.7+15691.71+473.1+66.25</f>
        <v>17586.935830624199</v>
      </c>
      <c r="T17" s="1"/>
      <c r="U17" s="1"/>
      <c r="V17" s="1"/>
      <c r="W17" s="1"/>
      <c r="X17" s="1"/>
      <c r="Y17" s="1"/>
      <c r="Z17" s="1"/>
      <c r="AA17" s="1"/>
      <c r="AB17" s="1"/>
      <c r="AC17" s="1"/>
    </row>
    <row r="18" spans="1:29" x14ac:dyDescent="0.35">
      <c r="A18" s="177" t="s">
        <v>100</v>
      </c>
      <c r="B18" s="214">
        <f>1456.91035652844+172.36+13048.377+416.09</f>
        <v>15093.73735652844</v>
      </c>
      <c r="C18" s="215">
        <f>1015.72803971137+195.92+11808.63+436.26</f>
        <v>13456.538039711369</v>
      </c>
      <c r="D18" s="215">
        <f>1022.12890747195+233.56+12967.64+448.82</f>
        <v>14672.148907471948</v>
      </c>
      <c r="E18" s="215">
        <f>1060.83207399778+257.87+14233.49+461.11</f>
        <v>16013.30207399778</v>
      </c>
      <c r="F18" s="216">
        <f>1071.1758306242+284.7+15691.71+473.1</f>
        <v>17520.685830624199</v>
      </c>
      <c r="T18" s="1"/>
      <c r="U18" s="1"/>
      <c r="V18" s="1"/>
      <c r="W18" s="1"/>
      <c r="X18" s="1"/>
      <c r="Y18" s="1"/>
      <c r="Z18" s="1"/>
      <c r="AA18" s="1"/>
      <c r="AB18" s="1"/>
      <c r="AC18" s="1"/>
    </row>
    <row r="19" spans="1:29" x14ac:dyDescent="0.35">
      <c r="A19" s="177" t="s">
        <v>101</v>
      </c>
      <c r="B19" s="214">
        <v>2648.53</v>
      </c>
      <c r="C19" s="214">
        <v>2769.5239999999999</v>
      </c>
      <c r="D19" s="214">
        <v>2983.5643098741944</v>
      </c>
      <c r="E19" s="214">
        <v>3214.1460999999999</v>
      </c>
      <c r="F19" s="217">
        <v>3462.55</v>
      </c>
      <c r="T19" s="1"/>
      <c r="U19" s="1"/>
      <c r="V19" s="1"/>
      <c r="W19" s="1"/>
      <c r="X19" s="1"/>
      <c r="Y19" s="1"/>
      <c r="Z19" s="1"/>
      <c r="AA19" s="1"/>
      <c r="AB19" s="1"/>
      <c r="AC19" s="1"/>
    </row>
    <row r="20" spans="1:29" x14ac:dyDescent="0.35">
      <c r="A20" s="177" t="s">
        <v>102</v>
      </c>
      <c r="B20" s="190">
        <v>7.38</v>
      </c>
      <c r="C20" s="218">
        <v>7.72</v>
      </c>
      <c r="D20" s="190">
        <v>8.32</v>
      </c>
      <c r="E20" s="190">
        <v>8.9600000000000009</v>
      </c>
      <c r="F20" s="191">
        <v>9.66</v>
      </c>
      <c r="T20" s="1"/>
      <c r="U20" s="1"/>
      <c r="V20" s="1"/>
      <c r="W20" s="1"/>
      <c r="X20" s="1"/>
      <c r="Y20" s="1"/>
      <c r="Z20" s="1"/>
      <c r="AA20" s="1"/>
      <c r="AB20" s="1"/>
      <c r="AC20" s="1"/>
    </row>
    <row r="21" spans="1:29" x14ac:dyDescent="0.35">
      <c r="A21" s="177" t="s">
        <v>103</v>
      </c>
      <c r="B21" s="190">
        <v>2.5299999999999998</v>
      </c>
      <c r="C21" s="218">
        <v>2.65</v>
      </c>
      <c r="D21" s="190">
        <v>2.86</v>
      </c>
      <c r="E21" s="190">
        <v>3.08</v>
      </c>
      <c r="F21" s="191">
        <v>3.32</v>
      </c>
      <c r="T21" s="1"/>
      <c r="U21" s="1"/>
      <c r="V21" s="1"/>
      <c r="W21" s="1"/>
      <c r="X21" s="1"/>
      <c r="Y21" s="1"/>
      <c r="Z21" s="1"/>
      <c r="AA21" s="1"/>
      <c r="AB21" s="1"/>
      <c r="AC21" s="1"/>
    </row>
    <row r="22" spans="1:29" x14ac:dyDescent="0.35">
      <c r="A22" s="177" t="s">
        <v>104</v>
      </c>
      <c r="B22" s="219"/>
      <c r="C22" s="192"/>
      <c r="D22" s="192"/>
      <c r="E22" s="192"/>
      <c r="F22" s="220"/>
      <c r="T22" s="1"/>
      <c r="U22" s="1"/>
      <c r="V22" s="1"/>
      <c r="W22" s="1"/>
      <c r="X22" s="1"/>
      <c r="Y22" s="1"/>
      <c r="Z22" s="1"/>
      <c r="AA22" s="1"/>
      <c r="AB22" s="1"/>
      <c r="AC22" s="1"/>
    </row>
    <row r="23" spans="1:29" x14ac:dyDescent="0.35">
      <c r="A23" s="177" t="s">
        <v>93</v>
      </c>
      <c r="B23" s="192"/>
      <c r="C23" s="192"/>
      <c r="D23" s="192"/>
      <c r="E23" s="192"/>
      <c r="F23" s="193"/>
      <c r="T23" s="1"/>
      <c r="U23" s="1"/>
      <c r="V23" s="1"/>
      <c r="W23" s="1"/>
      <c r="X23" s="1"/>
      <c r="Y23" s="1"/>
      <c r="Z23" s="1"/>
      <c r="AA23" s="1"/>
      <c r="AB23" s="1"/>
      <c r="AC23" s="1"/>
    </row>
    <row r="24" spans="1:29" x14ac:dyDescent="0.35">
      <c r="A24" s="179" t="s">
        <v>105</v>
      </c>
      <c r="B24" s="221">
        <f>B5+B6+B7+B8+B9+B10</f>
        <v>352973.02680580819</v>
      </c>
      <c r="C24" s="221">
        <f>C5+C6+C7+C8+C9+C10</f>
        <v>367734.7618631277</v>
      </c>
      <c r="D24" s="221">
        <f t="shared" ref="D24:F24" si="0">D5+D6+D7+D8+D9+D10</f>
        <v>382780.20800223702</v>
      </c>
      <c r="E24" s="221">
        <f>E5+E6+E7+E8+E9+E10</f>
        <v>396987.49222605606</v>
      </c>
      <c r="F24" s="222">
        <f t="shared" si="0"/>
        <v>407264.39790045971</v>
      </c>
      <c r="T24" s="1"/>
      <c r="U24" s="1"/>
      <c r="V24" s="1"/>
      <c r="W24" s="1"/>
      <c r="X24" s="1"/>
      <c r="Y24" s="1"/>
      <c r="Z24" s="1"/>
      <c r="AA24" s="1"/>
      <c r="AB24" s="1"/>
      <c r="AC24" s="1"/>
    </row>
    <row r="25" spans="1:29" x14ac:dyDescent="0.35">
      <c r="A25" s="180" t="s">
        <v>106</v>
      </c>
      <c r="B25" s="223">
        <f>B5+B6+B7+B8+B10</f>
        <v>348843.83303914114</v>
      </c>
      <c r="C25" s="223">
        <f>C5+C6+C7+C8+C10</f>
        <v>365254.77186312771</v>
      </c>
      <c r="D25" s="223">
        <f t="shared" ref="D25:F25" si="1">D5+D6+D7+D8+D10</f>
        <v>383234.34800223703</v>
      </c>
      <c r="E25" s="223">
        <f t="shared" si="1"/>
        <v>400454.39222605608</v>
      </c>
      <c r="F25" s="224">
        <f t="shared" si="1"/>
        <v>413225.81790045969</v>
      </c>
      <c r="T25" s="1"/>
      <c r="U25" s="1"/>
      <c r="V25" s="1"/>
      <c r="W25" s="1"/>
      <c r="X25" s="1"/>
      <c r="Y25" s="1"/>
      <c r="Z25" s="1"/>
      <c r="AA25" s="1"/>
      <c r="AB25" s="1"/>
      <c r="AC25" s="1"/>
    </row>
    <row r="26" spans="1:29" x14ac:dyDescent="0.35">
      <c r="A26" s="154"/>
      <c r="B26" s="155"/>
      <c r="C26" s="155"/>
      <c r="D26" s="155"/>
      <c r="E26" s="155"/>
      <c r="F26" s="155"/>
      <c r="G26" s="150"/>
      <c r="T26" s="1"/>
      <c r="U26" s="1"/>
      <c r="V26" s="1"/>
      <c r="W26" s="1"/>
      <c r="X26" s="1"/>
      <c r="Y26" s="1"/>
      <c r="Z26" s="1"/>
      <c r="AA26" s="1"/>
      <c r="AB26" s="1"/>
      <c r="AC26" s="1"/>
    </row>
    <row r="27" spans="1:29" s="1" customFormat="1" ht="16.5" x14ac:dyDescent="0.35">
      <c r="A27" s="1" t="s">
        <v>114</v>
      </c>
    </row>
    <row r="28" spans="1:29" s="1" customFormat="1" x14ac:dyDescent="0.35">
      <c r="A28" s="1" t="s">
        <v>109</v>
      </c>
    </row>
    <row r="29" spans="1:29" s="1" customFormat="1" ht="16.5" x14ac:dyDescent="0.35">
      <c r="A29" s="1" t="s">
        <v>115</v>
      </c>
    </row>
    <row r="30" spans="1:29" s="1" customFormat="1" x14ac:dyDescent="0.35">
      <c r="A30" s="1" t="s">
        <v>110</v>
      </c>
    </row>
    <row r="31" spans="1:29" s="1" customFormat="1" ht="16.5" x14ac:dyDescent="0.35">
      <c r="A31" s="1" t="s">
        <v>116</v>
      </c>
    </row>
    <row r="32" spans="1:29" s="1" customFormat="1" x14ac:dyDescent="0.35">
      <c r="A32" s="1" t="s">
        <v>111</v>
      </c>
    </row>
    <row r="33" spans="1:1" s="1" customFormat="1" x14ac:dyDescent="0.35">
      <c r="A33" s="1" t="s">
        <v>112</v>
      </c>
    </row>
    <row r="34" spans="1:1" s="1" customFormat="1" x14ac:dyDescent="0.35">
      <c r="A34" s="1" t="s">
        <v>113</v>
      </c>
    </row>
    <row r="35" spans="1:1" s="1" customFormat="1" ht="16.5" x14ac:dyDescent="0.35">
      <c r="A35" s="1" t="s">
        <v>117</v>
      </c>
    </row>
    <row r="36" spans="1:1" s="1" customFormat="1" x14ac:dyDescent="0.35"/>
    <row r="37" spans="1:1" s="1" customFormat="1" x14ac:dyDescent="0.35"/>
    <row r="38" spans="1:1" s="1" customFormat="1" x14ac:dyDescent="0.35"/>
    <row r="39" spans="1:1" s="1" customFormat="1" x14ac:dyDescent="0.35"/>
    <row r="40" spans="1:1" s="1" customFormat="1" x14ac:dyDescent="0.35"/>
    <row r="41" spans="1:1" s="1" customFormat="1" x14ac:dyDescent="0.35"/>
    <row r="42" spans="1:1" s="1" customFormat="1" x14ac:dyDescent="0.35"/>
    <row r="43" spans="1:1" s="1" customFormat="1" x14ac:dyDescent="0.35"/>
    <row r="44" spans="1:1" s="1" customFormat="1" x14ac:dyDescent="0.35"/>
    <row r="45" spans="1:1" s="1" customFormat="1" x14ac:dyDescent="0.35"/>
    <row r="46" spans="1:1" s="1" customFormat="1" x14ac:dyDescent="0.35"/>
    <row r="47" spans="1:1" s="1" customFormat="1" x14ac:dyDescent="0.35"/>
    <row r="48" spans="1:1"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sheetData>
  <sheetProtection formatCells="0" formatColumns="0" formatRows="0" insertColumns="0" deleteColumns="0"/>
  <mergeCells count="2">
    <mergeCell ref="A1:F1"/>
    <mergeCell ref="C2:F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6C373798295EC45B5970244D7D80173" ma:contentTypeVersion="9" ma:contentTypeDescription="Create a new document." ma:contentTypeScope="" ma:versionID="b24308682da56d7193da15eaf62de79b">
  <xsd:schema xmlns:xsd="http://www.w3.org/2001/XMLSchema" xmlns:xs="http://www.w3.org/2001/XMLSchema" xmlns:p="http://schemas.microsoft.com/office/2006/metadata/properties" xmlns:ns2="15514b59-bb73-4ff0-a5e5-a4586c4d386d" xmlns:ns3="a15581cb-2fb7-4bd8-818e-ef0f6b510223" targetNamespace="http://schemas.microsoft.com/office/2006/metadata/properties" ma:root="true" ma:fieldsID="f76b00e6f5f0a1bb25e76c7684ead418" ns2:_="" ns3:_="">
    <xsd:import namespace="15514b59-bb73-4ff0-a5e5-a4586c4d386d"/>
    <xsd:import namespace="a15581cb-2fb7-4bd8-818e-ef0f6b5102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14b59-bb73-4ff0-a5e5-a4586c4d3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ateandTime" ma:index="16" nillable="true" ma:displayName="Date and Time" ma:format="DateOnly"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15581cb-2fb7-4bd8-818e-ef0f6b5102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andTime xmlns="15514b59-bb73-4ff0-a5e5-a4586c4d386d" xsi:nil="true"/>
  </documentManagement>
</p:properties>
</file>

<file path=customXml/itemProps1.xml><?xml version="1.0" encoding="utf-8"?>
<ds:datastoreItem xmlns:ds="http://schemas.openxmlformats.org/officeDocument/2006/customXml" ds:itemID="{E194380D-D52D-49CB-A72A-3B6768CC1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14b59-bb73-4ff0-a5e5-a4586c4d386d"/>
    <ds:schemaRef ds:uri="a15581cb-2fb7-4bd8-818e-ef0f6b5102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EB96DD-D275-4E8D-9522-DCCF5E532D8D}">
  <ds:schemaRefs>
    <ds:schemaRef ds:uri="http://schemas.microsoft.com/sharepoint/v3/contenttype/forms"/>
  </ds:schemaRefs>
</ds:datastoreItem>
</file>

<file path=customXml/itemProps3.xml><?xml version="1.0" encoding="utf-8"?>
<ds:datastoreItem xmlns:ds="http://schemas.openxmlformats.org/officeDocument/2006/customXml" ds:itemID="{60C8B3A8-F587-4048-9980-65859A222165}">
  <ds:schemaRefs>
    <ds:schemaRef ds:uri="15514b59-bb73-4ff0-a5e5-a4586c4d386d"/>
    <ds:schemaRef ds:uri="http://www.w3.org/XML/1998/namespace"/>
    <ds:schemaRef ds:uri="http://schemas.microsoft.com/office/2006/documentManagement/types"/>
    <ds:schemaRef ds:uri="http://purl.org/dc/terms/"/>
    <ds:schemaRef ds:uri="a15581cb-2fb7-4bd8-818e-ef0f6b510223"/>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 sheet</vt:lpstr>
      <vt:lpstr>Appendix</vt:lpstr>
      <vt:lpstr>Table 1</vt:lpstr>
      <vt:lpstr>Table 2</vt:lpstr>
      <vt:lpstr>Table 3</vt:lpstr>
      <vt:lpstr>Table 4</vt:lpstr>
      <vt:lpstr>Table 5</vt:lpstr>
      <vt:lpstr>Table 6</vt:lpstr>
      <vt:lpstr>Table 7</vt:lpstr>
      <vt:lpstr>Table 8</vt:lpstr>
      <vt:lpstr>Table 9</vt:lpstr>
      <vt:lpstr>Table 10</vt:lpstr>
      <vt:lpstr>Table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Айымгуль Керимрай</dc:creator>
  <cp:lastModifiedBy>Gulmira Sergazina</cp:lastModifiedBy>
  <dcterms:created xsi:type="dcterms:W3CDTF">2022-12-02T11:08:00Z</dcterms:created>
  <dcterms:modified xsi:type="dcterms:W3CDTF">2025-01-10T08:24:12Z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0x01010036C373798295EC45B5970244D7D80173</vt:lpwstr>
  </property>
</Properties>
</file>